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NNY" sheetId="1" r:id="rId4"/>
    <sheet state="visible" name="MARIUS" sheetId="2" r:id="rId5"/>
    <sheet state="visible" name="CÉSAR " sheetId="3" r:id="rId6"/>
    <sheet state="visible" name="TT" sheetId="4" r:id="rId7"/>
    <sheet state="visible" name="VIERGE" sheetId="5" r:id="rId8"/>
    <sheet state="visible" name="Feuille 2" sheetId="6" r:id="rId9"/>
    <sheet state="visible" name="Feuille 4" sheetId="7" r:id="rId10"/>
    <sheet state="visible" name="MEMBRES" sheetId="8" r:id="rId11"/>
  </sheets>
  <definedNames/>
  <calcPr/>
</workbook>
</file>

<file path=xl/sharedStrings.xml><?xml version="1.0" encoding="utf-8"?>
<sst xmlns="http://schemas.openxmlformats.org/spreadsheetml/2006/main" count="836" uniqueCount="107">
  <si>
    <t>PLONGEE AIGLE NAUTIQUE club FEESSM 33060400</t>
  </si>
  <si>
    <t>Bateau :</t>
  </si>
  <si>
    <t>FANNY</t>
  </si>
  <si>
    <t>Date :</t>
  </si>
  <si>
    <t>baptêmes enf</t>
  </si>
  <si>
    <t>Pilote :</t>
  </si>
  <si>
    <t>DEI CHRISTOPHE   ok   E4</t>
  </si>
  <si>
    <t xml:space="preserve">Matin     /    Aprés.Midi  </t>
  </si>
  <si>
    <t>0-2 mètres 8-10 ans   /      0-3 mètres 10-14 ans</t>
  </si>
  <si>
    <t>Directeur de plongée :</t>
  </si>
  <si>
    <t>Lieu de plongée :</t>
  </si>
  <si>
    <t>Sécurité de surface:</t>
  </si>
  <si>
    <t>Nb plongeurs :</t>
  </si>
  <si>
    <t>REGLEMENT</t>
  </si>
  <si>
    <t>NOM</t>
  </si>
  <si>
    <t>PRENOM</t>
  </si>
  <si>
    <t>APT</t>
  </si>
  <si>
    <t>GAZ</t>
  </si>
  <si>
    <t>Esp</t>
  </si>
  <si>
    <t>CB</t>
  </si>
  <si>
    <t>CHQ</t>
  </si>
  <si>
    <t>CV</t>
  </si>
  <si>
    <t>Carte</t>
  </si>
  <si>
    <t>Encadrant</t>
  </si>
  <si>
    <t>DEL CONT DELPHINE   ok   E2</t>
  </si>
  <si>
    <t>Plongeur 1</t>
  </si>
  <si>
    <t>Kah Fabrice</t>
  </si>
  <si>
    <t>BPT</t>
  </si>
  <si>
    <t>Plongeur 2</t>
  </si>
  <si>
    <t>Kah Fabienne</t>
  </si>
  <si>
    <t>Plongeur 3</t>
  </si>
  <si>
    <t>Plongeur 4</t>
  </si>
  <si>
    <t>GP suppl.</t>
  </si>
  <si>
    <t>Paramètres</t>
  </si>
  <si>
    <t>Profondeur</t>
  </si>
  <si>
    <t>Durée</t>
  </si>
  <si>
    <t>H. mise à l'eau</t>
  </si>
  <si>
    <t>Prévus</t>
  </si>
  <si>
    <t>6+6</t>
  </si>
  <si>
    <t>20+20</t>
  </si>
  <si>
    <t>Réalisés</t>
  </si>
  <si>
    <t>TARDY GILLES   ok   E2</t>
  </si>
  <si>
    <t>Kah Estelle</t>
  </si>
  <si>
    <t>Kah Ethan</t>
  </si>
  <si>
    <t>3+6</t>
  </si>
  <si>
    <t>6+3</t>
  </si>
  <si>
    <t>BOETSCH MANUELA   ok   E3</t>
  </si>
  <si>
    <t>Barbier Sebastien</t>
  </si>
  <si>
    <t>Barbier Romain</t>
  </si>
  <si>
    <t>MARIUS</t>
  </si>
  <si>
    <t>KARAULIC SRDJAN   ok   E3</t>
  </si>
  <si>
    <t>EZQUERRO BIOLAY SYLVIE   ok   E3</t>
  </si>
  <si>
    <t xml:space="preserve">Belli Benjamin
</t>
  </si>
  <si>
    <t xml:space="preserve">Belli Lara
</t>
  </si>
  <si>
    <t>Karaulic Arthur   ok   E3</t>
  </si>
  <si>
    <t>Belli Raphael</t>
  </si>
  <si>
    <t>Renoul Laetitia</t>
  </si>
  <si>
    <t>GALBA OLIVIER   ok   E2 P5</t>
  </si>
  <si>
    <t>Renoul Thierry</t>
  </si>
  <si>
    <t>Renoul Melissa</t>
  </si>
  <si>
    <t>CESAR</t>
  </si>
  <si>
    <t>FLORENT JEROME   ok   E3</t>
  </si>
  <si>
    <t>MAYLIE STEPHANIE   ko   E3</t>
  </si>
  <si>
    <t xml:space="preserve">CHAUVE FRANCOIS   ok   PA60  </t>
  </si>
  <si>
    <t>TNX</t>
  </si>
  <si>
    <t>X</t>
  </si>
  <si>
    <t>BANNI ANTOINE   ok   PE40 PA20</t>
  </si>
  <si>
    <t>PA20</t>
  </si>
  <si>
    <t xml:space="preserve">Trimarchi Joseph   ok   PA60  </t>
  </si>
  <si>
    <t>BANNI SYLVIE   ok   PE40 PA20</t>
  </si>
  <si>
    <t>NOLIN Claire-Hélène   ok   T1</t>
  </si>
  <si>
    <t>TPE20</t>
  </si>
  <si>
    <t>NOLIN Sophie   ok   T1</t>
  </si>
  <si>
    <t>JEDOUX THIERRY   ok   PA60 E1</t>
  </si>
  <si>
    <t>PA60</t>
  </si>
  <si>
    <t xml:space="preserve">LOCATELLI ALEXANDE   ok   PA60  </t>
  </si>
  <si>
    <t>TOUS TEMPS</t>
  </si>
  <si>
    <t>FAYRET AURORE   ok   PA60 E1</t>
  </si>
  <si>
    <t>Vigon Sebastien</t>
  </si>
  <si>
    <t>Giovanni ZACCARO</t>
  </si>
  <si>
    <t>sécu</t>
  </si>
  <si>
    <t>Benoist Alain</t>
  </si>
  <si>
    <t>VINDIOLLET GERALD   ok   E2 P5</t>
  </si>
  <si>
    <t xml:space="preserve">Legrand Damien
</t>
  </si>
  <si>
    <t>Henric Matthieu</t>
  </si>
  <si>
    <t>ROTHACKER CATHERINE   ok   E3</t>
  </si>
  <si>
    <t>Viarouge Lyse</t>
  </si>
  <si>
    <t>Antoine Alexandre</t>
  </si>
  <si>
    <t>Matin     /    Aprés.Midi  /  Soir</t>
  </si>
  <si>
    <t>ENF</t>
  </si>
  <si>
    <t>TPA20</t>
  </si>
  <si>
    <t>TPE40</t>
  </si>
  <si>
    <t>TPA60</t>
  </si>
  <si>
    <t>TGP</t>
  </si>
  <si>
    <t>PE12</t>
  </si>
  <si>
    <t>PE20</t>
  </si>
  <si>
    <t>PE40</t>
  </si>
  <si>
    <t>GP</t>
  </si>
  <si>
    <t>E1</t>
  </si>
  <si>
    <t>E2</t>
  </si>
  <si>
    <t>E3</t>
  </si>
  <si>
    <t>E4</t>
  </si>
  <si>
    <t>P5</t>
  </si>
  <si>
    <t>PMT</t>
  </si>
  <si>
    <t>stp</t>
  </si>
  <si>
    <t>surf</t>
  </si>
  <si>
    <t>PA60 CCR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</si>
</sst>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22">
    <font>
      <sz val="11.0"/>
      <color theme="1"/>
      <name val="Calibri"/>
      <scheme val="minor"/>
    </font>
    <font>
      <b/>
      <sz val="9.0"/>
      <color theme="1"/>
      <name val="Calibri"/>
    </font>
    <font>
      <b/>
      <sz val="9.0"/>
      <color rgb="FF000000"/>
      <name val="Arial"/>
    </font>
    <font/>
    <font>
      <b/>
      <sz val="13.0"/>
      <color rgb="FF000000"/>
      <name val="Arial"/>
    </font>
    <font>
      <b/>
      <sz val="8.0"/>
      <color rgb="FF000000"/>
      <name val="Arial"/>
    </font>
    <font>
      <sz val="11.0"/>
      <color rgb="FF000000"/>
      <name val="Arial"/>
    </font>
    <font>
      <sz val="9.0"/>
      <color rgb="FF000000"/>
      <name val="Arial"/>
    </font>
    <font>
      <b/>
      <sz val="7.0"/>
      <color rgb="FF000000"/>
      <name val="Arial"/>
    </font>
    <font>
      <sz val="8.0"/>
      <color rgb="FF000000"/>
      <name val="Arial"/>
    </font>
    <font>
      <b/>
      <sz val="8.0"/>
      <color theme="1"/>
      <name val="Arial"/>
    </font>
    <font>
      <sz val="7.0"/>
      <color rgb="FF000000"/>
      <name val="Arial"/>
    </font>
    <font>
      <sz val="7.0"/>
      <color rgb="FF222222"/>
      <name val="Arial"/>
    </font>
    <font>
      <sz val="7.0"/>
      <color theme="1"/>
      <name val="Calibri"/>
    </font>
    <font>
      <color theme="1"/>
      <name val="Calibri"/>
      <scheme val="minor"/>
    </font>
    <font>
      <sz val="11.0"/>
      <color rgb="FF000000"/>
      <name val="Inconsolata"/>
    </font>
    <font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7.0"/>
      <color theme="1"/>
      <name val="Calibri"/>
      <scheme val="minor"/>
    </font>
    <font>
      <b/>
      <color theme="1"/>
      <name val="Calibri"/>
      <scheme val="minor"/>
    </font>
    <font>
      <color rgb="FF000000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6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/>
      <top/>
    </border>
    <border>
      <left/>
      <right/>
    </border>
    <border>
      <right/>
      <top/>
      <bottom/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bottom/>
    </border>
    <border>
      <left/>
      <right/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4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2" numFmtId="0" xfId="0" applyAlignment="1" applyBorder="1" applyFont="1">
      <alignment horizontal="center" vertical="center"/>
    </xf>
    <xf borderId="5" fillId="0" fontId="3" numFmtId="0" xfId="0" applyBorder="1" applyFont="1"/>
    <xf borderId="4" fillId="2" fontId="2" numFmtId="164" xfId="0" applyAlignment="1" applyBorder="1" applyFill="1" applyFont="1" applyNumberFormat="1">
      <alignment horizontal="center" readingOrder="0" vertical="center"/>
    </xf>
    <xf borderId="6" fillId="0" fontId="3" numFmtId="0" xfId="0" applyBorder="1" applyFont="1"/>
    <xf borderId="0" fillId="0" fontId="0" numFmtId="0" xfId="0" applyAlignment="1" applyFont="1">
      <alignment horizontal="center" readingOrder="0"/>
    </xf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9" fillId="3" fontId="5" numFmtId="0" xfId="0" applyAlignment="1" applyBorder="1" applyFill="1" applyFont="1">
      <alignment horizontal="center"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2" fontId="2" numFmtId="0" xfId="0" applyAlignment="1" applyBorder="1" applyFont="1">
      <alignment horizontal="center" readingOrder="0" vertical="center"/>
    </xf>
    <xf borderId="13" fillId="0" fontId="3" numFmtId="0" xfId="0" applyBorder="1" applyFont="1"/>
    <xf borderId="0" fillId="0" fontId="6" numFmtId="0" xfId="0" applyAlignment="1" applyFont="1">
      <alignment horizontal="center" vertical="center"/>
    </xf>
    <xf borderId="14" fillId="3" fontId="5" numFmtId="0" xfId="0" applyAlignment="1" applyBorder="1" applyFont="1">
      <alignment horizontal="center" readingOrder="0" shrinkToFit="0" vertical="center" wrapText="1"/>
    </xf>
    <xf borderId="15" fillId="0" fontId="3" numFmtId="0" xfId="0" applyBorder="1" applyFont="1"/>
    <xf borderId="16" fillId="0" fontId="3" numFmtId="0" xfId="0" applyBorder="1" applyFont="1"/>
    <xf borderId="4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18" fillId="0" fontId="3" numFmtId="0" xfId="0" applyBorder="1" applyFont="1"/>
    <xf borderId="4" fillId="3" fontId="5" numFmtId="0" xfId="0" applyAlignment="1" applyBorder="1" applyFont="1">
      <alignment horizontal="center" readingOrder="0" shrinkToFit="0" vertical="center" wrapText="1"/>
    </xf>
    <xf borderId="19" fillId="0" fontId="2" numFmtId="0" xfId="0" applyAlignment="1" applyBorder="1" applyFont="1">
      <alignment horizontal="center" vertical="center"/>
    </xf>
    <xf borderId="20" fillId="0" fontId="3" numFmtId="0" xfId="0" applyBorder="1" applyFont="1"/>
    <xf borderId="19" fillId="2" fontId="2" numFmtId="0" xfId="0" applyAlignment="1" applyBorder="1" applyFont="1">
      <alignment horizontal="center" readingOrder="0" vertical="center"/>
    </xf>
    <xf borderId="21" fillId="0" fontId="3" numFmtId="0" xfId="0" applyBorder="1" applyFont="1"/>
    <xf borderId="0" fillId="0" fontId="8" numFmtId="0" xfId="0" applyAlignment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22" fillId="4" fontId="10" numFmtId="0" xfId="0" applyAlignment="1" applyBorder="1" applyFill="1" applyFont="1">
      <alignment horizontal="center" shrinkToFit="0" vertical="center" wrapText="1"/>
    </xf>
    <xf borderId="23" fillId="4" fontId="10" numFmtId="0" xfId="0" applyAlignment="1" applyBorder="1" applyFont="1">
      <alignment horizontal="center" shrinkToFit="0" vertical="center" wrapText="1"/>
    </xf>
    <xf borderId="24" fillId="4" fontId="10" numFmtId="0" xfId="0" applyAlignment="1" applyBorder="1" applyFont="1">
      <alignment horizontal="center" shrinkToFit="0" vertical="center" wrapText="1"/>
    </xf>
    <xf borderId="25" fillId="4" fontId="10" numFmtId="0" xfId="0" applyAlignment="1" applyBorder="1" applyFont="1">
      <alignment horizontal="center" shrinkToFit="0" vertical="center" wrapText="1"/>
    </xf>
    <xf borderId="26" fillId="0" fontId="5" numFmtId="0" xfId="0" applyAlignment="1" applyBorder="1" applyFont="1">
      <alignment horizontal="center" vertical="center"/>
    </xf>
    <xf borderId="27" fillId="0" fontId="5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28" fillId="4" fontId="10" numFmtId="0" xfId="0" applyAlignment="1" applyBorder="1" applyFont="1">
      <alignment horizontal="center" shrinkToFit="0" vertical="center" wrapText="1"/>
    </xf>
    <xf borderId="22" fillId="0" fontId="9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readingOrder="0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9" fillId="0" fontId="11" numFmtId="0" xfId="0" applyAlignment="1" applyBorder="1" applyFont="1">
      <alignment horizontal="center" vertical="center"/>
    </xf>
    <xf borderId="30" fillId="0" fontId="11" numFmtId="0" xfId="0" applyAlignment="1" applyBorder="1" applyFont="1">
      <alignment horizontal="center" vertical="center"/>
    </xf>
    <xf borderId="31" fillId="0" fontId="11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readingOrder="0" shrinkToFit="0" vertical="center" wrapText="1"/>
    </xf>
    <xf borderId="32" fillId="0" fontId="9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center" readingOrder="0" shrinkToFit="0" vertical="bottom" wrapText="0"/>
    </xf>
    <xf borderId="34" fillId="0" fontId="3" numFmtId="0" xfId="0" applyBorder="1" applyFont="1"/>
    <xf borderId="35" fillId="0" fontId="11" numFmtId="0" xfId="0" applyAlignment="1" applyBorder="1" applyFont="1">
      <alignment horizontal="center" readingOrder="0" shrinkToFit="0" vertical="center" wrapText="1"/>
    </xf>
    <xf borderId="8" fillId="0" fontId="11" numFmtId="0" xfId="0" applyAlignment="1" applyBorder="1" applyFont="1">
      <alignment horizontal="center" readingOrder="0" shrinkToFit="0" vertical="center" wrapText="1"/>
    </xf>
    <xf borderId="36" fillId="0" fontId="11" numFmtId="0" xfId="0" applyAlignment="1" applyBorder="1" applyFont="1">
      <alignment horizontal="center" vertical="center"/>
    </xf>
    <xf borderId="37" fillId="0" fontId="11" numFmtId="0" xfId="0" applyAlignment="1" applyBorder="1" applyFont="1">
      <alignment horizontal="center" readingOrder="0" vertical="center"/>
    </xf>
    <xf borderId="12" fillId="0" fontId="9" numFmtId="0" xfId="0" applyAlignment="1" applyBorder="1" applyFont="1">
      <alignment horizontal="center" vertical="center"/>
    </xf>
    <xf borderId="38" fillId="0" fontId="11" numFmtId="0" xfId="0" applyAlignment="1" applyBorder="1" applyFont="1">
      <alignment horizontal="center" readingOrder="0" shrinkToFit="0" vertical="center" wrapText="1"/>
    </xf>
    <xf borderId="39" fillId="0" fontId="11" numFmtId="0" xfId="0" applyAlignment="1" applyBorder="1" applyFont="1">
      <alignment horizontal="center" vertical="center"/>
    </xf>
    <xf borderId="36" fillId="0" fontId="11" numFmtId="0" xfId="0" applyAlignment="1" applyBorder="1" applyFont="1">
      <alignment horizontal="center" readingOrder="0" vertical="center"/>
    </xf>
    <xf borderId="40" fillId="0" fontId="11" numFmtId="0" xfId="0" applyAlignment="1" applyBorder="1" applyFont="1">
      <alignment horizontal="center" readingOrder="0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41" fillId="0" fontId="11" numFmtId="0" xfId="0" applyAlignment="1" applyBorder="1" applyFont="1">
      <alignment horizontal="center" readingOrder="0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33" fillId="0" fontId="12" numFmtId="0" xfId="0" applyAlignment="1" applyBorder="1" applyFont="1">
      <alignment readingOrder="0" shrinkToFit="0" vertical="bottom" wrapText="0"/>
    </xf>
    <xf borderId="7" fillId="0" fontId="11" numFmtId="0" xfId="0" applyAlignment="1" applyBorder="1" applyFont="1">
      <alignment horizontal="center" shrinkToFit="0" vertical="center" wrapText="1"/>
    </xf>
    <xf borderId="41" fillId="0" fontId="11" numFmtId="0" xfId="0" applyAlignment="1" applyBorder="1" applyFont="1">
      <alignment horizontal="center" shrinkToFit="0" vertical="center" wrapText="1"/>
    </xf>
    <xf borderId="37" fillId="0" fontId="11" numFmtId="0" xfId="0" applyAlignment="1" applyBorder="1" applyFont="1">
      <alignment horizontal="center" vertical="center"/>
    </xf>
    <xf borderId="42" fillId="0" fontId="9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readingOrder="0" shrinkToFit="0" vertical="center" wrapText="1"/>
    </xf>
    <xf borderId="43" fillId="0" fontId="11" numFmtId="0" xfId="0" applyAlignment="1" applyBorder="1" applyFont="1">
      <alignment horizontal="center" readingOrder="0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44" fillId="0" fontId="11" numFmtId="0" xfId="0" applyAlignment="1" applyBorder="1" applyFont="1">
      <alignment horizontal="center" vertical="center"/>
    </xf>
    <xf borderId="45" fillId="0" fontId="11" numFmtId="0" xfId="0" applyAlignment="1" applyBorder="1" applyFont="1">
      <alignment horizontal="center" vertical="center"/>
    </xf>
    <xf borderId="46" fillId="0" fontId="11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shrinkToFit="0" vertical="center" wrapText="1"/>
    </xf>
    <xf borderId="43" fillId="0" fontId="11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42" fillId="0" fontId="5" numFmtId="0" xfId="0" applyAlignment="1" applyBorder="1" applyFont="1">
      <alignment horizontal="center" vertical="center"/>
    </xf>
    <xf borderId="20" fillId="0" fontId="9" numFmtId="0" xfId="0" applyAlignment="1" applyBorder="1" applyFont="1">
      <alignment horizontal="center" vertical="center"/>
    </xf>
    <xf borderId="38" fillId="0" fontId="9" numFmtId="0" xfId="0" applyAlignment="1" applyBorder="1" applyFont="1">
      <alignment horizontal="center" vertical="center"/>
    </xf>
    <xf borderId="38" fillId="0" fontId="2" numFmtId="0" xfId="0" applyAlignment="1" applyBorder="1" applyFont="1">
      <alignment horizontal="center" readingOrder="0" vertical="center"/>
    </xf>
    <xf borderId="40" fillId="0" fontId="2" numFmtId="0" xfId="0" applyAlignment="1" applyBorder="1" applyFont="1">
      <alignment horizontal="center" readingOrder="0" vertical="center"/>
    </xf>
    <xf borderId="17" fillId="0" fontId="9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vertical="center"/>
    </xf>
    <xf borderId="43" fillId="0" fontId="11" numFmtId="0" xfId="0" applyAlignment="1" applyBorder="1" applyFont="1">
      <alignment horizontal="center" vertical="center"/>
    </xf>
    <xf borderId="48" fillId="5" fontId="11" numFmtId="0" xfId="0" applyAlignment="1" applyBorder="1" applyFill="1" applyFont="1">
      <alignment horizontal="center" vertical="center"/>
    </xf>
    <xf borderId="49" fillId="5" fontId="11" numFmtId="0" xfId="0" applyAlignment="1" applyBorder="1" applyFont="1">
      <alignment horizontal="center" vertical="center"/>
    </xf>
    <xf borderId="50" fillId="5" fontId="11" numFmtId="0" xfId="0" applyAlignment="1" applyBorder="1" applyFont="1">
      <alignment horizontal="center" vertical="center"/>
    </xf>
    <xf borderId="51" fillId="5" fontId="11" numFmtId="0" xfId="0" applyAlignment="1" applyBorder="1" applyFont="1">
      <alignment horizontal="center" vertical="center"/>
    </xf>
    <xf borderId="48" fillId="5" fontId="9" numFmtId="0" xfId="0" applyAlignment="1" applyBorder="1" applyFont="1">
      <alignment horizontal="center" vertical="center"/>
    </xf>
    <xf borderId="49" fillId="5" fontId="9" numFmtId="0" xfId="0" applyAlignment="1" applyBorder="1" applyFont="1">
      <alignment horizontal="center" vertical="center"/>
    </xf>
    <xf borderId="50" fillId="5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shrinkToFit="0" vertical="center" wrapText="1"/>
    </xf>
    <xf borderId="29" fillId="0" fontId="9" numFmtId="0" xfId="0" applyAlignment="1" applyBorder="1" applyFont="1">
      <alignment horizontal="center" vertical="center"/>
    </xf>
    <xf borderId="30" fillId="0" fontId="9" numFmtId="0" xfId="0" applyAlignment="1" applyBorder="1" applyFont="1">
      <alignment horizontal="center" vertical="center"/>
    </xf>
    <xf borderId="31" fillId="0" fontId="9" numFmtId="0" xfId="0" applyAlignment="1" applyBorder="1" applyFont="1">
      <alignment horizontal="center" vertical="center"/>
    </xf>
    <xf borderId="52" fillId="0" fontId="3" numFmtId="0" xfId="0" applyBorder="1" applyFont="1"/>
    <xf borderId="8" fillId="0" fontId="9" numFmtId="0" xfId="0" applyAlignment="1" applyBorder="1" applyFont="1">
      <alignment horizontal="center" shrinkToFit="0" vertical="center" wrapText="1"/>
    </xf>
    <xf borderId="39" fillId="0" fontId="9" numFmtId="0" xfId="0" applyAlignment="1" applyBorder="1" applyFont="1">
      <alignment horizontal="center" vertical="center"/>
    </xf>
    <xf borderId="36" fillId="0" fontId="9" numFmtId="0" xfId="0" applyAlignment="1" applyBorder="1" applyFont="1">
      <alignment horizontal="center" vertical="center"/>
    </xf>
    <xf borderId="37" fillId="0" fontId="9" numFmtId="0" xfId="0" applyAlignment="1" applyBorder="1" applyFont="1">
      <alignment horizontal="center" readingOrder="0" vertical="center"/>
    </xf>
    <xf borderId="53" fillId="0" fontId="3" numFmtId="0" xfId="0" applyBorder="1" applyFont="1"/>
    <xf borderId="37" fillId="0" fontId="9" numFmtId="0" xfId="0" applyAlignment="1" applyBorder="1" applyFont="1">
      <alignment horizontal="center" vertical="center"/>
    </xf>
    <xf borderId="54" fillId="0" fontId="11" numFmtId="0" xfId="0" applyAlignment="1" applyBorder="1" applyFont="1">
      <alignment horizontal="center" shrinkToFit="0" vertical="center" wrapText="1"/>
    </xf>
    <xf borderId="55" fillId="0" fontId="3" numFmtId="0" xfId="0" applyBorder="1" applyFont="1"/>
    <xf borderId="18" fillId="0" fontId="9" numFmtId="0" xfId="0" applyAlignment="1" applyBorder="1" applyFont="1">
      <alignment horizontal="center" shrinkToFit="0" vertical="center" wrapText="1"/>
    </xf>
    <xf borderId="44" fillId="0" fontId="9" numFmtId="0" xfId="0" applyAlignment="1" applyBorder="1" applyFont="1">
      <alignment horizontal="center" vertical="center"/>
    </xf>
    <xf borderId="45" fillId="0" fontId="9" numFmtId="0" xfId="0" applyAlignment="1" applyBorder="1" applyFont="1">
      <alignment horizontal="center" vertical="center"/>
    </xf>
    <xf borderId="46" fillId="0" fontId="9" numFmtId="0" xfId="0" applyAlignment="1" applyBorder="1" applyFont="1">
      <alignment horizontal="center" vertical="center"/>
    </xf>
    <xf borderId="43" fillId="0" fontId="9" numFmtId="0" xfId="0" applyAlignment="1" applyBorder="1" applyFont="1">
      <alignment horizontal="center" vertical="center"/>
    </xf>
    <xf borderId="56" fillId="5" fontId="9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57" fillId="4" fontId="10" numFmtId="0" xfId="0" applyAlignment="1" applyBorder="1" applyFont="1">
      <alignment horizontal="center" shrinkToFit="0" vertical="center" wrapText="1"/>
    </xf>
    <xf borderId="58" fillId="4" fontId="10" numFmtId="0" xfId="0" applyAlignment="1" applyBorder="1" applyFont="1">
      <alignment horizontal="center" shrinkToFit="0" vertical="center" wrapText="1"/>
    </xf>
    <xf borderId="59" fillId="4" fontId="10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35" fillId="0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60" fillId="0" fontId="11" numFmtId="0" xfId="0" applyAlignment="1" applyBorder="1" applyFont="1">
      <alignment horizontal="center" readingOrder="0" shrinkToFit="0" vertical="center" wrapText="1"/>
    </xf>
    <xf borderId="61" fillId="0" fontId="1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19" fillId="0" fontId="3" numFmtId="0" xfId="0" applyBorder="1" applyFont="1"/>
    <xf borderId="60" fillId="0" fontId="11" numFmtId="0" xfId="0" applyAlignment="1" applyBorder="1" applyFont="1">
      <alignment horizontal="center" shrinkToFit="0" vertical="center" wrapText="1"/>
    </xf>
    <xf borderId="38" fillId="0" fontId="11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readingOrder="0" vertical="center"/>
    </xf>
    <xf borderId="0" fillId="0" fontId="14" numFmtId="0" xfId="0" applyFont="1"/>
    <xf borderId="48" fillId="0" fontId="15" numFmtId="0" xfId="0" applyBorder="1" applyFont="1"/>
    <xf borderId="0" fillId="0" fontId="16" numFmtId="0" xfId="0" applyAlignment="1" applyFont="1">
      <alignment vertical="bottom"/>
    </xf>
    <xf borderId="0" fillId="0" fontId="17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8" numFmtId="0" xfId="0" applyFont="1"/>
    <xf borderId="0" fillId="0" fontId="14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14" numFmtId="0" xfId="0" applyAlignment="1" applyFont="1">
      <alignment horizontal="right"/>
    </xf>
    <xf borderId="0" fillId="0" fontId="20" numFmtId="0" xfId="0" applyFont="1"/>
    <xf borderId="0" fillId="0" fontId="14" numFmtId="0" xfId="0" applyAlignment="1" applyFont="1">
      <alignment horizontal="center" readingOrder="0"/>
    </xf>
    <xf borderId="0" fillId="0" fontId="14" numFmtId="0" xfId="0" applyAlignment="1" applyFont="1">
      <alignment horizontal="center"/>
    </xf>
    <xf borderId="0" fillId="0" fontId="21" numFmtId="0" xfId="0" applyAlignment="1" applyFont="1">
      <alignment readingOrder="0"/>
    </xf>
    <xf borderId="0" fillId="0" fontId="21" numFmtId="0" xfId="0" applyAlignment="1" applyFont="1">
      <alignment horizontal="right" readingOrder="0"/>
    </xf>
    <xf borderId="0" fillId="0" fontId="21" numFmtId="165" xfId="0" applyAlignment="1" applyFont="1" applyNumberFormat="1">
      <alignment readingOrder="0"/>
    </xf>
    <xf borderId="0" fillId="0" fontId="14" numFmtId="0" xfId="0" applyFont="1"/>
    <xf borderId="0" fillId="0" fontId="21" numFmtId="0" xfId="0" applyAlignment="1" applyFont="1">
      <alignment horizontal="center" readingOrder="0"/>
    </xf>
    <xf borderId="0" fillId="0" fontId="14" numFmtId="165" xfId="0" applyFont="1" applyNumberFormat="1"/>
  </cellXfs>
  <cellStyles count="1">
    <cellStyle xfId="0" name="Normal" builtinId="0"/>
  </cellStyles>
  <dxfs count="4">
    <dxf>
      <font/>
      <fill>
        <patternFill patternType="solid">
          <fgColor rgb="FFEAFFF5"/>
          <bgColor rgb="FFEAFFF5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FF3D4"/>
          <bgColor rgb="FFFFF3D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57"/>
    <col customWidth="1" min="3" max="3" width="14.86"/>
    <col customWidth="1" min="4" max="4" width="10.71"/>
    <col customWidth="1" min="5" max="5" width="6.71"/>
    <col customWidth="1" min="6" max="10" width="4.57"/>
    <col customWidth="1" min="11" max="11" width="0.43"/>
    <col customWidth="1" min="12" max="12" width="8.57"/>
    <col customWidth="1" min="13" max="13" width="12.57"/>
    <col customWidth="1" min="14" max="14" width="12.71"/>
    <col customWidth="1" min="15" max="15" width="9.71"/>
    <col customWidth="1" min="16" max="21" width="4.57"/>
  </cols>
  <sheetData>
    <row r="1" ht="14.25" customHeight="1">
      <c r="A1" s="1" t="s">
        <v>0</v>
      </c>
    </row>
    <row r="2" ht="17.25" customHeight="1">
      <c r="A2" s="2" t="s">
        <v>1</v>
      </c>
      <c r="B2" s="3"/>
      <c r="C2" s="4" t="s">
        <v>2</v>
      </c>
      <c r="D2" s="5"/>
      <c r="E2" s="3"/>
      <c r="F2" s="6" t="s">
        <v>3</v>
      </c>
      <c r="G2" s="7"/>
      <c r="H2" s="7"/>
      <c r="I2" s="7"/>
      <c r="J2" s="7"/>
      <c r="K2" s="8">
        <v>45906.0</v>
      </c>
      <c r="L2" s="7"/>
      <c r="M2" s="9"/>
      <c r="N2" s="10" t="s">
        <v>4</v>
      </c>
    </row>
    <row r="3" ht="14.25" customHeight="1">
      <c r="A3" s="11" t="s">
        <v>5</v>
      </c>
      <c r="B3" s="12"/>
      <c r="C3" s="13" t="s">
        <v>6</v>
      </c>
      <c r="D3" s="14"/>
      <c r="E3" s="15"/>
      <c r="F3" s="16" t="s">
        <v>7</v>
      </c>
      <c r="M3" s="17"/>
      <c r="N3" s="10" t="s">
        <v>8</v>
      </c>
      <c r="U3" s="18"/>
    </row>
    <row r="4" ht="14.25" customHeight="1">
      <c r="A4" s="11" t="s">
        <v>9</v>
      </c>
      <c r="B4" s="12"/>
      <c r="C4" s="19" t="s">
        <v>6</v>
      </c>
      <c r="D4" s="20"/>
      <c r="E4" s="21"/>
      <c r="F4" s="6" t="s">
        <v>10</v>
      </c>
      <c r="G4" s="7"/>
      <c r="H4" s="7"/>
      <c r="I4" s="7"/>
      <c r="J4" s="7"/>
      <c r="K4" s="22"/>
      <c r="L4" s="7"/>
      <c r="M4" s="9"/>
      <c r="N4" s="23"/>
      <c r="P4" s="24"/>
      <c r="Q4" s="24"/>
      <c r="R4" s="23"/>
      <c r="U4" s="24"/>
    </row>
    <row r="5" ht="14.25" customHeight="1">
      <c r="A5" s="25" t="s">
        <v>11</v>
      </c>
      <c r="B5" s="26"/>
      <c r="C5" s="27"/>
      <c r="D5" s="7"/>
      <c r="E5" s="9"/>
      <c r="F5" s="28" t="s">
        <v>12</v>
      </c>
      <c r="G5" s="29"/>
      <c r="H5" s="29"/>
      <c r="I5" s="29"/>
      <c r="J5" s="29"/>
      <c r="K5" s="30">
        <f>COUNTA(M8:N13,B8:C13,B19:C24,M19:N24,M30:N35,B30:C35)</f>
        <v>9</v>
      </c>
      <c r="L5" s="29"/>
      <c r="M5" s="31"/>
      <c r="N5" s="23"/>
      <c r="P5" s="24"/>
      <c r="Q5" s="24"/>
      <c r="R5" s="23"/>
      <c r="U5" s="24"/>
    </row>
    <row r="6" ht="14.25" customHeight="1">
      <c r="A6" s="32"/>
      <c r="B6" s="32"/>
      <c r="C6" s="32"/>
      <c r="D6" s="32"/>
      <c r="E6" s="32"/>
      <c r="F6" s="33" t="s">
        <v>13</v>
      </c>
      <c r="J6" s="17"/>
      <c r="K6" s="32"/>
      <c r="L6" s="32"/>
      <c r="M6" s="32"/>
      <c r="N6" s="32"/>
      <c r="O6" s="32"/>
      <c r="P6" s="32"/>
      <c r="Q6" s="34" t="s">
        <v>13</v>
      </c>
      <c r="R6" s="7"/>
      <c r="S6" s="7"/>
      <c r="T6" s="7"/>
      <c r="U6" s="9"/>
    </row>
    <row r="7" ht="14.25" customHeight="1">
      <c r="A7" s="35"/>
      <c r="B7" s="36" t="s">
        <v>14</v>
      </c>
      <c r="C7" s="37" t="s">
        <v>15</v>
      </c>
      <c r="D7" s="38" t="s">
        <v>16</v>
      </c>
      <c r="E7" s="39" t="s">
        <v>17</v>
      </c>
      <c r="F7" s="40" t="s">
        <v>18</v>
      </c>
      <c r="G7" s="41" t="s">
        <v>19</v>
      </c>
      <c r="H7" s="41" t="s">
        <v>20</v>
      </c>
      <c r="I7" s="41" t="s">
        <v>21</v>
      </c>
      <c r="J7" s="42" t="s">
        <v>22</v>
      </c>
      <c r="K7" s="32"/>
      <c r="L7" s="43"/>
      <c r="M7" s="36" t="s">
        <v>14</v>
      </c>
      <c r="N7" s="44" t="s">
        <v>15</v>
      </c>
      <c r="O7" s="38" t="s">
        <v>16</v>
      </c>
      <c r="P7" s="39" t="s">
        <v>17</v>
      </c>
      <c r="Q7" s="40" t="s">
        <v>18</v>
      </c>
      <c r="R7" s="41" t="s">
        <v>19</v>
      </c>
      <c r="S7" s="41" t="s">
        <v>20</v>
      </c>
      <c r="T7" s="41" t="s">
        <v>21</v>
      </c>
      <c r="U7" s="42" t="s">
        <v>22</v>
      </c>
    </row>
    <row r="8" ht="14.25" customHeight="1">
      <c r="A8" s="45" t="s">
        <v>23</v>
      </c>
      <c r="B8" s="46" t="s">
        <v>24</v>
      </c>
      <c r="C8" s="7"/>
      <c r="D8" s="9"/>
      <c r="E8" s="47"/>
      <c r="F8" s="48"/>
      <c r="G8" s="49"/>
      <c r="H8" s="49"/>
      <c r="I8" s="49"/>
      <c r="J8" s="50"/>
      <c r="K8" s="43"/>
      <c r="L8" s="51" t="s">
        <v>23</v>
      </c>
      <c r="M8" s="52"/>
      <c r="N8" s="7"/>
      <c r="O8" s="9"/>
      <c r="P8" s="47"/>
      <c r="Q8" s="48"/>
      <c r="R8" s="49"/>
      <c r="S8" s="49"/>
      <c r="T8" s="49"/>
      <c r="U8" s="50"/>
    </row>
    <row r="9" ht="14.25" customHeight="1">
      <c r="A9" s="53" t="s">
        <v>25</v>
      </c>
      <c r="B9" s="54" t="s">
        <v>26</v>
      </c>
      <c r="C9" s="55"/>
      <c r="D9" s="56" t="s">
        <v>27</v>
      </c>
      <c r="E9" s="57"/>
      <c r="F9" s="48"/>
      <c r="G9" s="49"/>
      <c r="H9" s="58"/>
      <c r="I9" s="58"/>
      <c r="J9" s="59"/>
      <c r="K9" s="43"/>
      <c r="L9" s="60" t="s">
        <v>25</v>
      </c>
      <c r="M9" s="61"/>
      <c r="N9" s="55"/>
      <c r="O9" s="56"/>
      <c r="P9" s="57"/>
      <c r="Q9" s="62"/>
      <c r="R9" s="58"/>
      <c r="S9" s="58"/>
      <c r="T9" s="63"/>
      <c r="U9" s="59"/>
    </row>
    <row r="10" ht="14.25" customHeight="1">
      <c r="A10" s="53" t="s">
        <v>28</v>
      </c>
      <c r="B10" s="54" t="s">
        <v>29</v>
      </c>
      <c r="C10" s="55"/>
      <c r="D10" s="64" t="s">
        <v>27</v>
      </c>
      <c r="E10" s="57"/>
      <c r="F10" s="48"/>
      <c r="G10" s="49"/>
      <c r="H10" s="58"/>
      <c r="I10" s="58"/>
      <c r="J10" s="59"/>
      <c r="K10" s="43"/>
      <c r="L10" s="60" t="s">
        <v>28</v>
      </c>
      <c r="M10" s="65"/>
      <c r="N10" s="12"/>
      <c r="O10" s="66"/>
      <c r="P10" s="67"/>
      <c r="Q10" s="62"/>
      <c r="R10" s="58"/>
      <c r="S10" s="58"/>
      <c r="T10" s="58"/>
      <c r="U10" s="59"/>
    </row>
    <row r="11" ht="14.25" customHeight="1">
      <c r="A11" s="53" t="s">
        <v>30</v>
      </c>
      <c r="B11" s="68"/>
      <c r="C11" s="55"/>
      <c r="D11" s="64"/>
      <c r="E11" s="67"/>
      <c r="F11" s="48"/>
      <c r="G11" s="49"/>
      <c r="H11" s="58"/>
      <c r="I11" s="58"/>
      <c r="J11" s="59"/>
      <c r="K11" s="43"/>
      <c r="L11" s="60" t="s">
        <v>30</v>
      </c>
      <c r="M11" s="65"/>
      <c r="N11" s="12"/>
      <c r="O11" s="66"/>
      <c r="P11" s="67"/>
      <c r="Q11" s="62"/>
      <c r="R11" s="58"/>
      <c r="S11" s="58"/>
      <c r="T11" s="58"/>
      <c r="U11" s="59"/>
    </row>
    <row r="12" ht="14.25" customHeight="1">
      <c r="A12" s="53" t="s">
        <v>31</v>
      </c>
      <c r="B12" s="68"/>
      <c r="C12" s="55"/>
      <c r="D12" s="64"/>
      <c r="E12" s="67"/>
      <c r="F12" s="48"/>
      <c r="G12" s="49"/>
      <c r="H12" s="58"/>
      <c r="I12" s="58"/>
      <c r="J12" s="59"/>
      <c r="K12" s="43"/>
      <c r="L12" s="60" t="s">
        <v>31</v>
      </c>
      <c r="M12" s="69"/>
      <c r="N12" s="12"/>
      <c r="O12" s="70"/>
      <c r="P12" s="67"/>
      <c r="Q12" s="62"/>
      <c r="R12" s="58"/>
      <c r="S12" s="58"/>
      <c r="T12" s="58"/>
      <c r="U12" s="71"/>
    </row>
    <row r="13" ht="14.25" customHeight="1">
      <c r="A13" s="72" t="s">
        <v>32</v>
      </c>
      <c r="B13" s="73"/>
      <c r="C13" s="26"/>
      <c r="D13" s="74"/>
      <c r="E13" s="75"/>
      <c r="F13" s="76"/>
      <c r="G13" s="77"/>
      <c r="H13" s="77"/>
      <c r="I13" s="77"/>
      <c r="J13" s="78"/>
      <c r="K13" s="43"/>
      <c r="L13" s="79" t="s">
        <v>32</v>
      </c>
      <c r="M13" s="80"/>
      <c r="N13" s="26"/>
      <c r="O13" s="81"/>
      <c r="P13" s="75"/>
      <c r="Q13" s="76"/>
      <c r="R13" s="77"/>
      <c r="S13" s="77"/>
      <c r="T13" s="77"/>
      <c r="U13" s="78"/>
    </row>
    <row r="14" ht="14.25" customHeight="1">
      <c r="A14" s="34" t="s">
        <v>33</v>
      </c>
      <c r="B14" s="82" t="s">
        <v>34</v>
      </c>
      <c r="C14" s="82" t="s">
        <v>35</v>
      </c>
      <c r="D14" s="83" t="s">
        <v>36</v>
      </c>
      <c r="E14" s="9"/>
      <c r="F14" s="43"/>
      <c r="G14" s="43"/>
      <c r="H14" s="43"/>
      <c r="I14" s="43"/>
      <c r="J14" s="43"/>
      <c r="K14" s="43"/>
      <c r="L14" s="34" t="s">
        <v>33</v>
      </c>
      <c r="M14" s="84" t="s">
        <v>34</v>
      </c>
      <c r="N14" s="84" t="s">
        <v>35</v>
      </c>
      <c r="O14" s="85" t="s">
        <v>36</v>
      </c>
      <c r="P14" s="31"/>
      <c r="Q14" s="43"/>
      <c r="R14" s="43"/>
      <c r="S14" s="43"/>
      <c r="T14" s="43"/>
      <c r="U14" s="43"/>
    </row>
    <row r="15" ht="14.25" customHeight="1">
      <c r="A15" s="86" t="s">
        <v>37</v>
      </c>
      <c r="B15" s="87" t="s">
        <v>38</v>
      </c>
      <c r="C15" s="88" t="s">
        <v>39</v>
      </c>
      <c r="D15" s="35"/>
      <c r="E15" s="17"/>
      <c r="F15" s="43"/>
      <c r="G15" s="43"/>
      <c r="H15" s="43"/>
      <c r="I15" s="43"/>
      <c r="J15" s="43"/>
      <c r="K15" s="43"/>
      <c r="L15" s="86" t="s">
        <v>37</v>
      </c>
      <c r="M15" s="87"/>
      <c r="N15" s="88"/>
      <c r="O15" s="35"/>
      <c r="P15" s="17"/>
      <c r="Q15" s="43"/>
      <c r="R15" s="43"/>
      <c r="S15" s="43"/>
      <c r="T15" s="43"/>
      <c r="U15" s="43"/>
    </row>
    <row r="16" ht="14.25" customHeight="1">
      <c r="A16" s="89" t="s">
        <v>40</v>
      </c>
      <c r="B16" s="90"/>
      <c r="C16" s="91"/>
      <c r="D16" s="29"/>
      <c r="E16" s="31"/>
      <c r="F16" s="43"/>
      <c r="G16" s="43"/>
      <c r="H16" s="43"/>
      <c r="I16" s="43"/>
      <c r="J16" s="43"/>
      <c r="K16" s="43"/>
      <c r="L16" s="89" t="s">
        <v>40</v>
      </c>
      <c r="M16" s="90"/>
      <c r="N16" s="91"/>
      <c r="O16" s="29"/>
      <c r="P16" s="31"/>
      <c r="Q16" s="43"/>
      <c r="R16" s="43"/>
      <c r="S16" s="43"/>
      <c r="T16" s="43"/>
      <c r="U16" s="43"/>
    </row>
    <row r="17" ht="14.25" customHeight="1">
      <c r="A17" s="92"/>
      <c r="B17" s="92"/>
      <c r="C17" s="93"/>
      <c r="D17" s="94"/>
      <c r="E17" s="94"/>
      <c r="F17" s="34" t="s">
        <v>13</v>
      </c>
      <c r="G17" s="7"/>
      <c r="H17" s="7"/>
      <c r="I17" s="7"/>
      <c r="J17" s="9"/>
      <c r="K17" s="95"/>
      <c r="L17" s="96"/>
      <c r="M17" s="96"/>
      <c r="N17" s="97"/>
      <c r="O17" s="98"/>
      <c r="P17" s="98"/>
      <c r="Q17" s="34" t="s">
        <v>13</v>
      </c>
      <c r="R17" s="7"/>
      <c r="S17" s="7"/>
      <c r="T17" s="7"/>
      <c r="U17" s="9"/>
    </row>
    <row r="18" ht="14.25" customHeight="1">
      <c r="A18" s="43"/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1" t="s">
        <v>19</v>
      </c>
      <c r="H18" s="41" t="s">
        <v>20</v>
      </c>
      <c r="I18" s="41" t="s">
        <v>21</v>
      </c>
      <c r="J18" s="42" t="s">
        <v>22</v>
      </c>
      <c r="K18" s="43"/>
      <c r="L18" s="35"/>
      <c r="M18" s="36" t="s">
        <v>14</v>
      </c>
      <c r="N18" s="37" t="s">
        <v>15</v>
      </c>
      <c r="O18" s="38" t="s">
        <v>16</v>
      </c>
      <c r="P18" s="39" t="s">
        <v>17</v>
      </c>
      <c r="Q18" s="40" t="s">
        <v>18</v>
      </c>
      <c r="R18" s="41" t="s">
        <v>19</v>
      </c>
      <c r="S18" s="41" t="s">
        <v>20</v>
      </c>
      <c r="T18" s="41" t="s">
        <v>21</v>
      </c>
      <c r="U18" s="42" t="s">
        <v>22</v>
      </c>
    </row>
    <row r="19" ht="14.25" customHeight="1">
      <c r="A19" s="45" t="s">
        <v>23</v>
      </c>
      <c r="B19" s="46" t="s">
        <v>41</v>
      </c>
      <c r="C19" s="7"/>
      <c r="D19" s="9"/>
      <c r="E19" s="47"/>
      <c r="F19" s="48"/>
      <c r="G19" s="49"/>
      <c r="H19" s="49"/>
      <c r="I19" s="49"/>
      <c r="J19" s="50"/>
      <c r="K19" s="43"/>
      <c r="L19" s="45" t="s">
        <v>23</v>
      </c>
      <c r="M19" s="52"/>
      <c r="N19" s="7"/>
      <c r="O19" s="9"/>
      <c r="P19" s="99"/>
      <c r="Q19" s="100"/>
      <c r="R19" s="101"/>
      <c r="S19" s="101"/>
      <c r="T19" s="101"/>
      <c r="U19" s="102"/>
    </row>
    <row r="20" ht="14.25" customHeight="1">
      <c r="A20" s="53" t="s">
        <v>25</v>
      </c>
      <c r="B20" s="54" t="s">
        <v>42</v>
      </c>
      <c r="C20" s="55"/>
      <c r="D20" s="64" t="s">
        <v>27</v>
      </c>
      <c r="E20" s="57">
        <v>12.0</v>
      </c>
      <c r="F20" s="62"/>
      <c r="G20" s="58"/>
      <c r="H20" s="58"/>
      <c r="I20" s="58"/>
      <c r="J20" s="59"/>
      <c r="K20" s="43"/>
      <c r="L20" s="53" t="s">
        <v>25</v>
      </c>
      <c r="M20" s="61"/>
      <c r="N20" s="103"/>
      <c r="O20" s="56"/>
      <c r="P20" s="104"/>
      <c r="Q20" s="105"/>
      <c r="R20" s="106"/>
      <c r="S20" s="106"/>
      <c r="T20" s="106"/>
      <c r="U20" s="107"/>
    </row>
    <row r="21" ht="14.25" customHeight="1">
      <c r="A21" s="53" t="s">
        <v>28</v>
      </c>
      <c r="B21" s="54" t="s">
        <v>43</v>
      </c>
      <c r="C21" s="55"/>
      <c r="D21" s="64" t="s">
        <v>27</v>
      </c>
      <c r="E21" s="57">
        <v>15.0</v>
      </c>
      <c r="F21" s="62"/>
      <c r="G21" s="58"/>
      <c r="H21" s="58"/>
      <c r="I21" s="58"/>
      <c r="J21" s="59"/>
      <c r="K21" s="43"/>
      <c r="L21" s="53" t="s">
        <v>28</v>
      </c>
      <c r="M21" s="61"/>
      <c r="N21" s="55"/>
      <c r="O21" s="66"/>
      <c r="P21" s="104"/>
      <c r="Q21" s="105"/>
      <c r="R21" s="106"/>
      <c r="S21" s="106"/>
      <c r="T21" s="106"/>
      <c r="U21" s="107"/>
    </row>
    <row r="22" ht="14.25" customHeight="1">
      <c r="A22" s="53" t="s">
        <v>30</v>
      </c>
      <c r="B22" s="68"/>
      <c r="C22" s="55"/>
      <c r="D22" s="64"/>
      <c r="E22" s="67"/>
      <c r="F22" s="62"/>
      <c r="G22" s="58"/>
      <c r="H22" s="58"/>
      <c r="I22" s="58"/>
      <c r="J22" s="59"/>
      <c r="K22" s="43"/>
      <c r="L22" s="53" t="s">
        <v>30</v>
      </c>
      <c r="M22" s="65"/>
      <c r="N22" s="108"/>
      <c r="O22" s="66"/>
      <c r="P22" s="104"/>
      <c r="Q22" s="105"/>
      <c r="R22" s="106"/>
      <c r="S22" s="106"/>
      <c r="T22" s="106"/>
      <c r="U22" s="109"/>
    </row>
    <row r="23" ht="14.25" customHeight="1">
      <c r="A23" s="53" t="s">
        <v>31</v>
      </c>
      <c r="B23" s="65"/>
      <c r="C23" s="12"/>
      <c r="D23" s="64"/>
      <c r="E23" s="67"/>
      <c r="F23" s="62"/>
      <c r="G23" s="58"/>
      <c r="H23" s="58"/>
      <c r="I23" s="58"/>
      <c r="J23" s="59"/>
      <c r="K23" s="43"/>
      <c r="L23" s="53" t="s">
        <v>31</v>
      </c>
      <c r="M23" s="69"/>
      <c r="N23" s="108"/>
      <c r="O23" s="70"/>
      <c r="P23" s="104"/>
      <c r="Q23" s="105"/>
      <c r="R23" s="106"/>
      <c r="S23" s="106"/>
      <c r="T23" s="106"/>
      <c r="U23" s="109"/>
    </row>
    <row r="24" ht="14.25" customHeight="1">
      <c r="A24" s="72" t="s">
        <v>32</v>
      </c>
      <c r="B24" s="80"/>
      <c r="C24" s="26"/>
      <c r="D24" s="81"/>
      <c r="E24" s="75"/>
      <c r="F24" s="76"/>
      <c r="G24" s="77"/>
      <c r="H24" s="77"/>
      <c r="I24" s="77"/>
      <c r="J24" s="78"/>
      <c r="K24" s="43"/>
      <c r="L24" s="72" t="s">
        <v>32</v>
      </c>
      <c r="M24" s="110"/>
      <c r="N24" s="111"/>
      <c r="O24" s="81"/>
      <c r="P24" s="112"/>
      <c r="Q24" s="113"/>
      <c r="R24" s="114"/>
      <c r="S24" s="114"/>
      <c r="T24" s="114"/>
      <c r="U24" s="115"/>
    </row>
    <row r="25" ht="14.25" customHeight="1">
      <c r="A25" s="34" t="s">
        <v>33</v>
      </c>
      <c r="B25" s="82" t="s">
        <v>34</v>
      </c>
      <c r="C25" s="82" t="s">
        <v>35</v>
      </c>
      <c r="D25" s="83" t="s">
        <v>36</v>
      </c>
      <c r="E25" s="9"/>
      <c r="F25" s="43"/>
      <c r="G25" s="43"/>
      <c r="H25" s="43"/>
      <c r="I25" s="43"/>
      <c r="J25" s="43"/>
      <c r="K25" s="43"/>
      <c r="L25" s="34" t="s">
        <v>33</v>
      </c>
      <c r="M25" s="82" t="s">
        <v>34</v>
      </c>
      <c r="N25" s="82" t="s">
        <v>35</v>
      </c>
      <c r="O25" s="83" t="s">
        <v>36</v>
      </c>
      <c r="P25" s="9"/>
      <c r="Q25" s="35"/>
      <c r="R25" s="35"/>
      <c r="S25" s="35"/>
      <c r="T25" s="35"/>
      <c r="U25" s="35"/>
    </row>
    <row r="26" ht="14.25" customHeight="1">
      <c r="A26" s="86" t="s">
        <v>37</v>
      </c>
      <c r="B26" s="87" t="s">
        <v>44</v>
      </c>
      <c r="C26" s="88" t="s">
        <v>39</v>
      </c>
      <c r="D26" s="35"/>
      <c r="E26" s="17"/>
      <c r="F26" s="43"/>
      <c r="G26" s="43"/>
      <c r="H26" s="43"/>
      <c r="I26" s="43"/>
      <c r="J26" s="43"/>
      <c r="K26" s="43"/>
      <c r="L26" s="86" t="s">
        <v>37</v>
      </c>
      <c r="M26" s="87" t="s">
        <v>45</v>
      </c>
      <c r="N26" s="88" t="s">
        <v>39</v>
      </c>
      <c r="O26" s="35"/>
      <c r="P26" s="17"/>
      <c r="Q26" s="35"/>
      <c r="R26" s="35"/>
      <c r="S26" s="35"/>
      <c r="T26" s="35"/>
      <c r="U26" s="35"/>
    </row>
    <row r="27" ht="14.25" customHeight="1">
      <c r="A27" s="89" t="s">
        <v>40</v>
      </c>
      <c r="B27" s="90"/>
      <c r="C27" s="91"/>
      <c r="D27" s="29"/>
      <c r="E27" s="31"/>
      <c r="F27" s="43"/>
      <c r="G27" s="43"/>
      <c r="H27" s="43"/>
      <c r="I27" s="43"/>
      <c r="J27" s="43"/>
      <c r="K27" s="43"/>
      <c r="L27" s="89" t="s">
        <v>40</v>
      </c>
      <c r="M27" s="89"/>
      <c r="N27" s="116"/>
      <c r="O27" s="29"/>
      <c r="P27" s="31"/>
      <c r="Q27" s="35"/>
      <c r="R27" s="35"/>
      <c r="S27" s="35"/>
      <c r="T27" s="35"/>
      <c r="U27" s="35"/>
    </row>
    <row r="28" ht="14.25" customHeight="1">
      <c r="A28" s="96"/>
      <c r="B28" s="96"/>
      <c r="C28" s="96"/>
      <c r="D28" s="117"/>
      <c r="E28" s="117"/>
      <c r="F28" s="118" t="s">
        <v>13</v>
      </c>
      <c r="G28" s="20"/>
      <c r="H28" s="20"/>
      <c r="I28" s="20"/>
      <c r="J28" s="21"/>
      <c r="K28" s="92"/>
      <c r="L28" s="96"/>
      <c r="M28" s="96"/>
      <c r="N28" s="97"/>
      <c r="O28" s="98"/>
      <c r="P28" s="98"/>
      <c r="Q28" s="34" t="s">
        <v>13</v>
      </c>
      <c r="R28" s="7"/>
      <c r="S28" s="7"/>
      <c r="T28" s="7"/>
      <c r="U28" s="9"/>
    </row>
    <row r="29" ht="14.25" customHeight="1">
      <c r="A29" s="35"/>
      <c r="B29" s="36" t="s">
        <v>14</v>
      </c>
      <c r="C29" s="119" t="s">
        <v>15</v>
      </c>
      <c r="D29" s="120" t="s">
        <v>16</v>
      </c>
      <c r="E29" s="121" t="s">
        <v>17</v>
      </c>
      <c r="F29" s="40" t="s">
        <v>18</v>
      </c>
      <c r="G29" s="41" t="s">
        <v>19</v>
      </c>
      <c r="H29" s="41" t="s">
        <v>20</v>
      </c>
      <c r="I29" s="41" t="s">
        <v>21</v>
      </c>
      <c r="J29" s="42" t="s">
        <v>22</v>
      </c>
      <c r="K29" s="43"/>
      <c r="L29" s="35"/>
      <c r="M29" s="36" t="s">
        <v>14</v>
      </c>
      <c r="N29" s="37" t="s">
        <v>15</v>
      </c>
      <c r="O29" s="38" t="s">
        <v>16</v>
      </c>
      <c r="P29" s="39" t="s">
        <v>17</v>
      </c>
      <c r="Q29" s="40" t="s">
        <v>18</v>
      </c>
      <c r="R29" s="41" t="s">
        <v>19</v>
      </c>
      <c r="S29" s="41" t="s">
        <v>20</v>
      </c>
      <c r="T29" s="41" t="s">
        <v>21</v>
      </c>
      <c r="U29" s="42" t="s">
        <v>22</v>
      </c>
    </row>
    <row r="30" ht="14.25" customHeight="1">
      <c r="A30" s="45" t="s">
        <v>23</v>
      </c>
      <c r="B30" s="52" t="s">
        <v>46</v>
      </c>
      <c r="C30" s="7"/>
      <c r="D30" s="9"/>
      <c r="E30" s="47"/>
      <c r="F30" s="100"/>
      <c r="G30" s="101"/>
      <c r="H30" s="101"/>
      <c r="I30" s="101"/>
      <c r="J30" s="102"/>
      <c r="K30" s="43"/>
      <c r="L30" s="45" t="s">
        <v>23</v>
      </c>
      <c r="M30" s="122"/>
      <c r="N30" s="7"/>
      <c r="O30" s="9"/>
      <c r="P30" s="99"/>
      <c r="Q30" s="100"/>
      <c r="R30" s="101"/>
      <c r="S30" s="101"/>
      <c r="T30" s="101"/>
      <c r="U30" s="102"/>
    </row>
    <row r="31" ht="14.25" customHeight="1">
      <c r="A31" s="53" t="s">
        <v>25</v>
      </c>
      <c r="B31" s="61" t="s">
        <v>47</v>
      </c>
      <c r="C31" s="55"/>
      <c r="D31" s="66" t="s">
        <v>27</v>
      </c>
      <c r="E31" s="57"/>
      <c r="F31" s="105"/>
      <c r="G31" s="106"/>
      <c r="H31" s="106"/>
      <c r="I31" s="106"/>
      <c r="J31" s="107"/>
      <c r="K31" s="43"/>
      <c r="L31" s="53" t="s">
        <v>25</v>
      </c>
      <c r="M31" s="61"/>
      <c r="N31" s="55"/>
      <c r="O31" s="123"/>
      <c r="P31" s="104"/>
      <c r="Q31" s="105"/>
      <c r="R31" s="106"/>
      <c r="S31" s="106"/>
      <c r="T31" s="106"/>
      <c r="U31" s="109"/>
    </row>
    <row r="32" ht="14.25" customHeight="1">
      <c r="A32" s="53" t="s">
        <v>28</v>
      </c>
      <c r="B32" s="61" t="s">
        <v>48</v>
      </c>
      <c r="C32" s="55"/>
      <c r="D32" s="66" t="s">
        <v>27</v>
      </c>
      <c r="E32" s="57"/>
      <c r="F32" s="105"/>
      <c r="G32" s="106"/>
      <c r="H32" s="106"/>
      <c r="I32" s="106"/>
      <c r="J32" s="107"/>
      <c r="K32" s="43"/>
      <c r="L32" s="53" t="s">
        <v>28</v>
      </c>
      <c r="M32" s="61"/>
      <c r="N32" s="55"/>
      <c r="O32" s="70"/>
      <c r="P32" s="104"/>
      <c r="Q32" s="105"/>
      <c r="R32" s="106"/>
      <c r="S32" s="106"/>
      <c r="T32" s="106"/>
      <c r="U32" s="107"/>
    </row>
    <row r="33" ht="14.25" customHeight="1">
      <c r="A33" s="53" t="s">
        <v>30</v>
      </c>
      <c r="B33" s="65"/>
      <c r="C33" s="12"/>
      <c r="D33" s="66"/>
      <c r="E33" s="67"/>
      <c r="F33" s="105"/>
      <c r="G33" s="106"/>
      <c r="H33" s="106"/>
      <c r="I33" s="106"/>
      <c r="J33" s="107"/>
      <c r="K33" s="43"/>
      <c r="L33" s="53" t="s">
        <v>30</v>
      </c>
      <c r="M33" s="69"/>
      <c r="N33" s="12"/>
      <c r="O33" s="70"/>
      <c r="P33" s="104"/>
      <c r="Q33" s="105"/>
      <c r="R33" s="106"/>
      <c r="S33" s="106"/>
      <c r="T33" s="106"/>
      <c r="U33" s="109"/>
    </row>
    <row r="34" ht="14.25" customHeight="1">
      <c r="A34" s="53" t="s">
        <v>31</v>
      </c>
      <c r="B34" s="65"/>
      <c r="C34" s="12"/>
      <c r="D34" s="66"/>
      <c r="E34" s="67"/>
      <c r="F34" s="105"/>
      <c r="G34" s="106"/>
      <c r="H34" s="106"/>
      <c r="I34" s="106"/>
      <c r="J34" s="109"/>
      <c r="K34" s="43"/>
      <c r="L34" s="53" t="s">
        <v>31</v>
      </c>
      <c r="M34" s="69"/>
      <c r="N34" s="12"/>
      <c r="O34" s="70"/>
      <c r="P34" s="104"/>
      <c r="Q34" s="105"/>
      <c r="R34" s="106"/>
      <c r="S34" s="106"/>
      <c r="T34" s="106"/>
      <c r="U34" s="109"/>
    </row>
    <row r="35" ht="14.25" customHeight="1">
      <c r="A35" s="72" t="s">
        <v>32</v>
      </c>
      <c r="B35" s="80"/>
      <c r="C35" s="26"/>
      <c r="D35" s="81"/>
      <c r="E35" s="75"/>
      <c r="F35" s="113"/>
      <c r="G35" s="114"/>
      <c r="H35" s="114"/>
      <c r="I35" s="114"/>
      <c r="J35" s="115"/>
      <c r="K35" s="43"/>
      <c r="L35" s="72" t="s">
        <v>32</v>
      </c>
      <c r="M35" s="80"/>
      <c r="N35" s="26"/>
      <c r="O35" s="81"/>
      <c r="P35" s="112"/>
      <c r="Q35" s="113"/>
      <c r="R35" s="114"/>
      <c r="S35" s="114"/>
      <c r="T35" s="114"/>
      <c r="U35" s="115"/>
    </row>
    <row r="36" ht="14.25" customHeight="1">
      <c r="A36" s="34" t="s">
        <v>33</v>
      </c>
      <c r="B36" s="82" t="s">
        <v>34</v>
      </c>
      <c r="C36" s="82" t="s">
        <v>35</v>
      </c>
      <c r="D36" s="83" t="s">
        <v>36</v>
      </c>
      <c r="E36" s="9"/>
      <c r="F36" s="35"/>
      <c r="G36" s="35"/>
      <c r="H36" s="35"/>
      <c r="I36" s="35"/>
      <c r="J36" s="35"/>
      <c r="K36" s="43"/>
      <c r="L36" s="34" t="s">
        <v>33</v>
      </c>
      <c r="M36" s="82" t="s">
        <v>34</v>
      </c>
      <c r="N36" s="82" t="s">
        <v>35</v>
      </c>
      <c r="O36" s="83" t="s">
        <v>36</v>
      </c>
      <c r="P36" s="9"/>
      <c r="Q36" s="35"/>
      <c r="R36" s="35"/>
      <c r="S36" s="35"/>
      <c r="T36" s="35"/>
      <c r="U36" s="35"/>
    </row>
    <row r="37" ht="14.25" customHeight="1">
      <c r="A37" s="86" t="s">
        <v>37</v>
      </c>
      <c r="B37" s="87" t="s">
        <v>38</v>
      </c>
      <c r="C37" s="88" t="s">
        <v>39</v>
      </c>
      <c r="D37" s="35"/>
      <c r="E37" s="17"/>
      <c r="F37" s="35"/>
      <c r="G37" s="35"/>
      <c r="H37" s="35"/>
      <c r="I37" s="35"/>
      <c r="J37" s="35"/>
      <c r="K37" s="43"/>
      <c r="L37" s="86" t="s">
        <v>37</v>
      </c>
      <c r="M37" s="87"/>
      <c r="N37" s="88"/>
      <c r="O37" s="35"/>
      <c r="P37" s="17"/>
      <c r="Q37" s="35"/>
      <c r="R37" s="35"/>
      <c r="S37" s="35"/>
      <c r="T37" s="35"/>
      <c r="U37" s="35"/>
    </row>
    <row r="38" ht="14.25" customHeight="1">
      <c r="A38" s="89" t="s">
        <v>40</v>
      </c>
      <c r="B38" s="90"/>
      <c r="C38" s="91"/>
      <c r="D38" s="29"/>
      <c r="E38" s="31"/>
      <c r="F38" s="35"/>
      <c r="G38" s="35"/>
      <c r="H38" s="35"/>
      <c r="I38" s="35"/>
      <c r="J38" s="35"/>
      <c r="K38" s="43"/>
      <c r="L38" s="89" t="s">
        <v>40</v>
      </c>
      <c r="M38" s="89"/>
      <c r="N38" s="116"/>
      <c r="O38" s="29"/>
      <c r="P38" s="31"/>
      <c r="Q38" s="35"/>
      <c r="R38" s="35"/>
      <c r="S38" s="35"/>
      <c r="T38" s="35"/>
      <c r="U38" s="35"/>
    </row>
    <row r="39" ht="28.5" customHeight="1">
      <c r="A39" s="124"/>
    </row>
    <row r="40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</row>
    <row r="4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</row>
    <row r="50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</row>
    <row r="51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  <row r="58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</row>
    <row r="5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</row>
    <row r="60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</row>
    <row r="61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</row>
    <row r="6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6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</row>
    <row r="70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</row>
    <row r="74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</row>
    <row r="75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</row>
    <row r="76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</row>
    <row r="77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</row>
    <row r="78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</row>
    <row r="7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</row>
    <row r="80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ht="14.2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</sheetData>
  <mergeCells count="77">
    <mergeCell ref="M19:O19"/>
    <mergeCell ref="M20:N20"/>
    <mergeCell ref="N5:O5"/>
    <mergeCell ref="M8:O8"/>
    <mergeCell ref="M9:N9"/>
    <mergeCell ref="M10:N10"/>
    <mergeCell ref="M11:N11"/>
    <mergeCell ref="M12:N12"/>
    <mergeCell ref="M13:N13"/>
    <mergeCell ref="B19:D19"/>
    <mergeCell ref="B20:C20"/>
    <mergeCell ref="B21:C21"/>
    <mergeCell ref="M21:N21"/>
    <mergeCell ref="B22:C22"/>
    <mergeCell ref="M22:N22"/>
    <mergeCell ref="M23:N23"/>
    <mergeCell ref="B23:C23"/>
    <mergeCell ref="B24:C24"/>
    <mergeCell ref="D25:E25"/>
    <mergeCell ref="D26:E27"/>
    <mergeCell ref="O26:P27"/>
    <mergeCell ref="F28:J28"/>
    <mergeCell ref="Q28:U28"/>
    <mergeCell ref="B33:C33"/>
    <mergeCell ref="B34:C34"/>
    <mergeCell ref="B35:C35"/>
    <mergeCell ref="D36:E36"/>
    <mergeCell ref="D37:E38"/>
    <mergeCell ref="M34:N34"/>
    <mergeCell ref="M35:N35"/>
    <mergeCell ref="O36:P36"/>
    <mergeCell ref="O37:P38"/>
    <mergeCell ref="A39:U39"/>
    <mergeCell ref="B30:D30"/>
    <mergeCell ref="M30:O30"/>
    <mergeCell ref="B31:C31"/>
    <mergeCell ref="M31:N31"/>
    <mergeCell ref="B32:C32"/>
    <mergeCell ref="M32:N32"/>
    <mergeCell ref="M33:N33"/>
    <mergeCell ref="A1:U1"/>
    <mergeCell ref="A2:B2"/>
    <mergeCell ref="C2:E2"/>
    <mergeCell ref="F2:J2"/>
    <mergeCell ref="K2:M2"/>
    <mergeCell ref="N2:U2"/>
    <mergeCell ref="A3:B3"/>
    <mergeCell ref="N3:T3"/>
    <mergeCell ref="C3:E3"/>
    <mergeCell ref="F3:M3"/>
    <mergeCell ref="C4:E4"/>
    <mergeCell ref="F4:J4"/>
    <mergeCell ref="K4:M4"/>
    <mergeCell ref="N4:O4"/>
    <mergeCell ref="R4:T4"/>
    <mergeCell ref="R5:T5"/>
    <mergeCell ref="Q6:U6"/>
    <mergeCell ref="A4:B4"/>
    <mergeCell ref="A5:B5"/>
    <mergeCell ref="C5:E5"/>
    <mergeCell ref="F5:J5"/>
    <mergeCell ref="K5:M5"/>
    <mergeCell ref="F6:J6"/>
    <mergeCell ref="B8:D8"/>
    <mergeCell ref="O14:P14"/>
    <mergeCell ref="O15:P16"/>
    <mergeCell ref="F17:J17"/>
    <mergeCell ref="Q17:U17"/>
    <mergeCell ref="B9:C9"/>
    <mergeCell ref="B10:C10"/>
    <mergeCell ref="B11:C11"/>
    <mergeCell ref="B12:C12"/>
    <mergeCell ref="B13:C13"/>
    <mergeCell ref="D14:E14"/>
    <mergeCell ref="D15:E16"/>
    <mergeCell ref="M24:N24"/>
    <mergeCell ref="O25:P25"/>
  </mergeCells>
  <dataValidations>
    <dataValidation type="list" allowBlank="1" sqref="B8 B19 B30">
      <formula1>MEMBRES!$K$2:$K$368</formula1>
    </dataValidation>
    <dataValidation type="list" allowBlank="1" sqref="D9:D13 O9:O13 D20:D24 O20:O24 D31:D35 O31:O35">
      <formula1>'Feuille 4'!$A$1:$A$26</formula1>
    </dataValidation>
    <dataValidation type="list" allowBlank="1" sqref="C3:C5 B9:B13 M8:M13 B20:B24 M19:M24 B31:B35 M30:M35">
      <formula1>MEMBRES!$K$2:$K$337</formula1>
    </dataValidation>
  </dataValidations>
  <printOptions horizontalCentered="1" verticalCentered="1"/>
  <pageMargins bottom="0.0" footer="0.0" header="0.0" left="0.39370078740157477" right="0.0" top="0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57"/>
    <col customWidth="1" min="3" max="3" width="14.86"/>
    <col customWidth="1" min="4" max="4" width="10.71"/>
    <col customWidth="1" min="5" max="5" width="6.71"/>
    <col customWidth="1" min="6" max="10" width="4.57"/>
    <col customWidth="1" min="11" max="11" width="0.43"/>
    <col customWidth="1" min="12" max="12" width="8.57"/>
    <col customWidth="1" min="13" max="13" width="12.57"/>
    <col customWidth="1" min="14" max="14" width="12.71"/>
    <col customWidth="1" min="15" max="15" width="9.71"/>
    <col customWidth="1" min="16" max="21" width="4.57"/>
  </cols>
  <sheetData>
    <row r="1" ht="14.25" customHeight="1">
      <c r="A1" s="1" t="s">
        <v>0</v>
      </c>
    </row>
    <row r="2" ht="17.25" customHeight="1">
      <c r="A2" s="2" t="s">
        <v>1</v>
      </c>
      <c r="B2" s="3"/>
      <c r="C2" s="4" t="s">
        <v>49</v>
      </c>
      <c r="D2" s="5"/>
      <c r="E2" s="3"/>
      <c r="F2" s="6" t="s">
        <v>3</v>
      </c>
      <c r="G2" s="7"/>
      <c r="H2" s="7"/>
      <c r="I2" s="7"/>
      <c r="J2" s="7"/>
      <c r="K2" s="8">
        <v>45906.0</v>
      </c>
      <c r="L2" s="7"/>
      <c r="M2" s="9"/>
      <c r="N2" s="10" t="s">
        <v>4</v>
      </c>
    </row>
    <row r="3" ht="14.25" customHeight="1">
      <c r="A3" s="11" t="s">
        <v>5</v>
      </c>
      <c r="B3" s="12"/>
      <c r="C3" s="13" t="s">
        <v>50</v>
      </c>
      <c r="D3" s="14"/>
      <c r="E3" s="15"/>
      <c r="F3" s="16" t="s">
        <v>7</v>
      </c>
      <c r="M3" s="17"/>
      <c r="N3" s="10" t="s">
        <v>8</v>
      </c>
      <c r="U3" s="18"/>
    </row>
    <row r="4" ht="14.25" customHeight="1">
      <c r="A4" s="11" t="s">
        <v>9</v>
      </c>
      <c r="B4" s="12"/>
      <c r="C4" s="19" t="s">
        <v>50</v>
      </c>
      <c r="D4" s="20"/>
      <c r="E4" s="21"/>
      <c r="F4" s="6" t="s">
        <v>10</v>
      </c>
      <c r="G4" s="7"/>
      <c r="H4" s="7"/>
      <c r="I4" s="7"/>
      <c r="J4" s="7"/>
      <c r="K4" s="22"/>
      <c r="L4" s="7"/>
      <c r="M4" s="9"/>
      <c r="N4" s="23"/>
      <c r="P4" s="24"/>
      <c r="Q4" s="24"/>
      <c r="R4" s="23"/>
      <c r="U4" s="24"/>
    </row>
    <row r="5" ht="14.25" customHeight="1">
      <c r="A5" s="25" t="s">
        <v>11</v>
      </c>
      <c r="B5" s="26"/>
      <c r="C5" s="27"/>
      <c r="D5" s="7"/>
      <c r="E5" s="9"/>
      <c r="F5" s="28" t="s">
        <v>12</v>
      </c>
      <c r="G5" s="29"/>
      <c r="H5" s="29"/>
      <c r="I5" s="29"/>
      <c r="J5" s="29"/>
      <c r="K5" s="30">
        <f>COUNTA(M8:N13,B8:C13,B19:C24,M19:N24,M30:N35,B30:C35)</f>
        <v>9</v>
      </c>
      <c r="L5" s="29"/>
      <c r="M5" s="31"/>
      <c r="N5" s="23"/>
      <c r="P5" s="24"/>
      <c r="Q5" s="24"/>
      <c r="R5" s="23"/>
      <c r="U5" s="24"/>
    </row>
    <row r="6" ht="14.25" customHeight="1">
      <c r="A6" s="32"/>
      <c r="B6" s="32"/>
      <c r="C6" s="32"/>
      <c r="D6" s="32"/>
      <c r="E6" s="32"/>
      <c r="F6" s="33" t="s">
        <v>13</v>
      </c>
      <c r="J6" s="17"/>
      <c r="K6" s="32"/>
      <c r="L6" s="32"/>
      <c r="M6" s="32"/>
      <c r="N6" s="32"/>
      <c r="O6" s="32"/>
      <c r="P6" s="32"/>
      <c r="Q6" s="34" t="s">
        <v>13</v>
      </c>
      <c r="R6" s="7"/>
      <c r="S6" s="7"/>
      <c r="T6" s="7"/>
      <c r="U6" s="9"/>
    </row>
    <row r="7" ht="14.25" customHeight="1">
      <c r="A7" s="35"/>
      <c r="B7" s="36" t="s">
        <v>14</v>
      </c>
      <c r="C7" s="37" t="s">
        <v>15</v>
      </c>
      <c r="D7" s="38" t="s">
        <v>16</v>
      </c>
      <c r="E7" s="39" t="s">
        <v>17</v>
      </c>
      <c r="F7" s="40" t="s">
        <v>18</v>
      </c>
      <c r="G7" s="41" t="s">
        <v>19</v>
      </c>
      <c r="H7" s="41" t="s">
        <v>20</v>
      </c>
      <c r="I7" s="41" t="s">
        <v>21</v>
      </c>
      <c r="J7" s="42" t="s">
        <v>22</v>
      </c>
      <c r="K7" s="32"/>
      <c r="L7" s="43"/>
      <c r="M7" s="36" t="s">
        <v>14</v>
      </c>
      <c r="N7" s="44" t="s">
        <v>15</v>
      </c>
      <c r="O7" s="38" t="s">
        <v>16</v>
      </c>
      <c r="P7" s="39" t="s">
        <v>17</v>
      </c>
      <c r="Q7" s="40" t="s">
        <v>18</v>
      </c>
      <c r="R7" s="41" t="s">
        <v>19</v>
      </c>
      <c r="S7" s="41" t="s">
        <v>20</v>
      </c>
      <c r="T7" s="41" t="s">
        <v>21</v>
      </c>
      <c r="U7" s="42" t="s">
        <v>22</v>
      </c>
    </row>
    <row r="8" ht="14.25" customHeight="1">
      <c r="A8" s="45" t="s">
        <v>23</v>
      </c>
      <c r="B8" s="46" t="s">
        <v>51</v>
      </c>
      <c r="C8" s="7"/>
      <c r="D8" s="9"/>
      <c r="E8" s="47"/>
      <c r="F8" s="48"/>
      <c r="G8" s="49"/>
      <c r="H8" s="49"/>
      <c r="I8" s="49"/>
      <c r="J8" s="50"/>
      <c r="K8" s="43"/>
      <c r="L8" s="51" t="s">
        <v>23</v>
      </c>
      <c r="M8" s="52"/>
      <c r="N8" s="7"/>
      <c r="O8" s="9"/>
      <c r="P8" s="47"/>
      <c r="Q8" s="48"/>
      <c r="R8" s="49"/>
      <c r="S8" s="49"/>
      <c r="T8" s="49"/>
      <c r="U8" s="50"/>
    </row>
    <row r="9" ht="14.25" customHeight="1">
      <c r="A9" s="53" t="s">
        <v>25</v>
      </c>
      <c r="B9" s="54" t="s">
        <v>52</v>
      </c>
      <c r="C9" s="55"/>
      <c r="D9" s="56" t="s">
        <v>27</v>
      </c>
      <c r="E9" s="57"/>
      <c r="F9" s="48"/>
      <c r="G9" s="49"/>
      <c r="H9" s="58"/>
      <c r="I9" s="58"/>
      <c r="J9" s="59"/>
      <c r="K9" s="43"/>
      <c r="L9" s="60" t="s">
        <v>25</v>
      </c>
      <c r="M9" s="61"/>
      <c r="N9" s="55"/>
      <c r="O9" s="56"/>
      <c r="P9" s="57"/>
      <c r="Q9" s="62"/>
      <c r="R9" s="58"/>
      <c r="S9" s="58"/>
      <c r="T9" s="63"/>
      <c r="U9" s="59"/>
    </row>
    <row r="10" ht="14.25" customHeight="1">
      <c r="A10" s="53" t="s">
        <v>28</v>
      </c>
      <c r="B10" s="54" t="s">
        <v>53</v>
      </c>
      <c r="C10" s="55"/>
      <c r="D10" s="56" t="s">
        <v>27</v>
      </c>
      <c r="E10" s="57"/>
      <c r="F10" s="48"/>
      <c r="G10" s="49"/>
      <c r="H10" s="58"/>
      <c r="I10" s="58"/>
      <c r="J10" s="59"/>
      <c r="K10" s="43"/>
      <c r="L10" s="60" t="s">
        <v>28</v>
      </c>
      <c r="M10" s="65"/>
      <c r="N10" s="12"/>
      <c r="O10" s="66"/>
      <c r="P10" s="67"/>
      <c r="Q10" s="62"/>
      <c r="R10" s="58"/>
      <c r="S10" s="58"/>
      <c r="T10" s="58"/>
      <c r="U10" s="59"/>
    </row>
    <row r="11" ht="14.25" customHeight="1">
      <c r="A11" s="53" t="s">
        <v>30</v>
      </c>
      <c r="B11" s="54"/>
      <c r="C11" s="55"/>
      <c r="D11" s="64"/>
      <c r="E11" s="67"/>
      <c r="F11" s="48"/>
      <c r="G11" s="49"/>
      <c r="H11" s="58"/>
      <c r="I11" s="58"/>
      <c r="J11" s="59"/>
      <c r="K11" s="43"/>
      <c r="L11" s="60" t="s">
        <v>30</v>
      </c>
      <c r="M11" s="65"/>
      <c r="N11" s="12"/>
      <c r="O11" s="66"/>
      <c r="P11" s="67"/>
      <c r="Q11" s="62"/>
      <c r="R11" s="58"/>
      <c r="S11" s="58"/>
      <c r="T11" s="58"/>
      <c r="U11" s="59"/>
    </row>
    <row r="12" ht="14.25" customHeight="1">
      <c r="A12" s="53" t="s">
        <v>31</v>
      </c>
      <c r="B12" s="65"/>
      <c r="C12" s="12"/>
      <c r="D12" s="64"/>
      <c r="E12" s="67"/>
      <c r="F12" s="48"/>
      <c r="G12" s="49"/>
      <c r="H12" s="58"/>
      <c r="I12" s="58"/>
      <c r="J12" s="59"/>
      <c r="K12" s="43"/>
      <c r="L12" s="60" t="s">
        <v>31</v>
      </c>
      <c r="M12" s="69"/>
      <c r="N12" s="12"/>
      <c r="O12" s="70"/>
      <c r="P12" s="67"/>
      <c r="Q12" s="62"/>
      <c r="R12" s="58"/>
      <c r="S12" s="58"/>
      <c r="T12" s="58"/>
      <c r="U12" s="71"/>
    </row>
    <row r="13" ht="14.25" customHeight="1">
      <c r="A13" s="72" t="s">
        <v>32</v>
      </c>
      <c r="B13" s="80"/>
      <c r="C13" s="26"/>
      <c r="D13" s="126"/>
      <c r="E13" s="127"/>
      <c r="F13" s="76"/>
      <c r="G13" s="77"/>
      <c r="H13" s="77"/>
      <c r="I13" s="77"/>
      <c r="J13" s="78"/>
      <c r="K13" s="43"/>
      <c r="L13" s="79" t="s">
        <v>32</v>
      </c>
      <c r="M13" s="80"/>
      <c r="N13" s="26"/>
      <c r="O13" s="81"/>
      <c r="P13" s="75"/>
      <c r="Q13" s="76"/>
      <c r="R13" s="77"/>
      <c r="S13" s="77"/>
      <c r="T13" s="77"/>
      <c r="U13" s="78"/>
    </row>
    <row r="14" ht="14.25" customHeight="1">
      <c r="A14" s="34" t="s">
        <v>33</v>
      </c>
      <c r="B14" s="82" t="s">
        <v>34</v>
      </c>
      <c r="C14" s="34" t="s">
        <v>35</v>
      </c>
      <c r="D14" s="128" t="s">
        <v>36</v>
      </c>
      <c r="E14" s="9"/>
      <c r="F14" s="43"/>
      <c r="G14" s="43"/>
      <c r="H14" s="43"/>
      <c r="I14" s="43"/>
      <c r="J14" s="43"/>
      <c r="K14" s="43"/>
      <c r="L14" s="34" t="s">
        <v>33</v>
      </c>
      <c r="M14" s="84" t="s">
        <v>34</v>
      </c>
      <c r="N14" s="84" t="s">
        <v>35</v>
      </c>
      <c r="O14" s="85" t="s">
        <v>36</v>
      </c>
      <c r="P14" s="31"/>
      <c r="Q14" s="43"/>
      <c r="R14" s="43"/>
      <c r="S14" s="43"/>
      <c r="T14" s="43"/>
      <c r="U14" s="43"/>
    </row>
    <row r="15" ht="14.25" customHeight="1">
      <c r="A15" s="86" t="s">
        <v>37</v>
      </c>
      <c r="B15" s="87" t="s">
        <v>38</v>
      </c>
      <c r="C15" s="87" t="s">
        <v>39</v>
      </c>
      <c r="D15" s="60"/>
      <c r="E15" s="17"/>
      <c r="F15" s="43"/>
      <c r="G15" s="43"/>
      <c r="H15" s="43"/>
      <c r="I15" s="43"/>
      <c r="J15" s="43"/>
      <c r="K15" s="43"/>
      <c r="L15" s="86" t="s">
        <v>37</v>
      </c>
      <c r="M15" s="87"/>
      <c r="N15" s="88"/>
      <c r="O15" s="35"/>
      <c r="P15" s="17"/>
      <c r="Q15" s="43"/>
      <c r="R15" s="43"/>
      <c r="S15" s="43"/>
      <c r="T15" s="43"/>
      <c r="U15" s="43"/>
    </row>
    <row r="16" ht="14.25" customHeight="1">
      <c r="A16" s="89" t="s">
        <v>40</v>
      </c>
      <c r="B16" s="90"/>
      <c r="C16" s="90"/>
      <c r="D16" s="129"/>
      <c r="E16" s="31"/>
      <c r="F16" s="43"/>
      <c r="G16" s="43"/>
      <c r="H16" s="43"/>
      <c r="I16" s="43"/>
      <c r="J16" s="43"/>
      <c r="K16" s="43"/>
      <c r="L16" s="89" t="s">
        <v>40</v>
      </c>
      <c r="M16" s="90"/>
      <c r="N16" s="91"/>
      <c r="O16" s="29"/>
      <c r="P16" s="31"/>
      <c r="Q16" s="43"/>
      <c r="R16" s="43"/>
      <c r="S16" s="43"/>
      <c r="T16" s="43"/>
      <c r="U16" s="43"/>
    </row>
    <row r="17" ht="14.25" customHeight="1">
      <c r="A17" s="92"/>
      <c r="B17" s="92"/>
      <c r="C17" s="93"/>
      <c r="D17" s="94"/>
      <c r="E17" s="94"/>
      <c r="F17" s="34" t="s">
        <v>13</v>
      </c>
      <c r="G17" s="7"/>
      <c r="H17" s="7"/>
      <c r="I17" s="7"/>
      <c r="J17" s="9"/>
      <c r="K17" s="95"/>
      <c r="L17" s="96"/>
      <c r="M17" s="96"/>
      <c r="N17" s="97"/>
      <c r="O17" s="98"/>
      <c r="P17" s="98"/>
      <c r="Q17" s="34" t="s">
        <v>13</v>
      </c>
      <c r="R17" s="7"/>
      <c r="S17" s="7"/>
      <c r="T17" s="7"/>
      <c r="U17" s="9"/>
    </row>
    <row r="18" ht="14.25" customHeight="1">
      <c r="A18" s="43"/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1" t="s">
        <v>19</v>
      </c>
      <c r="H18" s="41" t="s">
        <v>20</v>
      </c>
      <c r="I18" s="41" t="s">
        <v>21</v>
      </c>
      <c r="J18" s="42" t="s">
        <v>22</v>
      </c>
      <c r="K18" s="43"/>
      <c r="L18" s="35"/>
      <c r="M18" s="36" t="s">
        <v>14</v>
      </c>
      <c r="N18" s="37" t="s">
        <v>15</v>
      </c>
      <c r="O18" s="38" t="s">
        <v>16</v>
      </c>
      <c r="P18" s="39" t="s">
        <v>17</v>
      </c>
      <c r="Q18" s="40" t="s">
        <v>18</v>
      </c>
      <c r="R18" s="41" t="s">
        <v>19</v>
      </c>
      <c r="S18" s="41" t="s">
        <v>20</v>
      </c>
      <c r="T18" s="41" t="s">
        <v>21</v>
      </c>
      <c r="U18" s="42" t="s">
        <v>22</v>
      </c>
    </row>
    <row r="19" ht="14.25" customHeight="1">
      <c r="A19" s="45" t="s">
        <v>23</v>
      </c>
      <c r="B19" s="46" t="s">
        <v>54</v>
      </c>
      <c r="C19" s="7"/>
      <c r="D19" s="9"/>
      <c r="E19" s="47"/>
      <c r="F19" s="48"/>
      <c r="G19" s="49"/>
      <c r="H19" s="49"/>
      <c r="I19" s="49"/>
      <c r="J19" s="50"/>
      <c r="K19" s="43"/>
      <c r="L19" s="45" t="s">
        <v>23</v>
      </c>
      <c r="M19" s="52"/>
      <c r="N19" s="7"/>
      <c r="O19" s="9"/>
      <c r="P19" s="99"/>
      <c r="Q19" s="100"/>
      <c r="R19" s="101"/>
      <c r="S19" s="101"/>
      <c r="T19" s="101"/>
      <c r="U19" s="102"/>
    </row>
    <row r="20" ht="14.25" customHeight="1">
      <c r="A20" s="53" t="s">
        <v>25</v>
      </c>
      <c r="B20" s="54" t="s">
        <v>55</v>
      </c>
      <c r="C20" s="55"/>
      <c r="D20" s="56" t="s">
        <v>27</v>
      </c>
      <c r="E20" s="57"/>
      <c r="F20" s="62"/>
      <c r="G20" s="58"/>
      <c r="H20" s="58"/>
      <c r="I20" s="58"/>
      <c r="J20" s="59"/>
      <c r="K20" s="43"/>
      <c r="L20" s="53" t="s">
        <v>25</v>
      </c>
      <c r="M20" s="61"/>
      <c r="N20" s="103"/>
      <c r="O20" s="56"/>
      <c r="P20" s="104"/>
      <c r="Q20" s="105"/>
      <c r="R20" s="106"/>
      <c r="S20" s="106"/>
      <c r="T20" s="106"/>
      <c r="U20" s="107"/>
    </row>
    <row r="21" ht="14.25" customHeight="1">
      <c r="A21" s="53" t="s">
        <v>28</v>
      </c>
      <c r="B21" s="65" t="s">
        <v>56</v>
      </c>
      <c r="C21" s="12"/>
      <c r="D21" s="56" t="s">
        <v>27</v>
      </c>
      <c r="E21" s="57"/>
      <c r="F21" s="62"/>
      <c r="G21" s="58"/>
      <c r="H21" s="58"/>
      <c r="I21" s="58"/>
      <c r="J21" s="59"/>
      <c r="K21" s="43"/>
      <c r="L21" s="53" t="s">
        <v>28</v>
      </c>
      <c r="M21" s="61"/>
      <c r="N21" s="55"/>
      <c r="O21" s="66"/>
      <c r="P21" s="104"/>
      <c r="Q21" s="105"/>
      <c r="R21" s="106"/>
      <c r="S21" s="106"/>
      <c r="T21" s="106"/>
      <c r="U21" s="107"/>
    </row>
    <row r="22" ht="14.25" customHeight="1">
      <c r="A22" s="53" t="s">
        <v>30</v>
      </c>
      <c r="B22" s="68"/>
      <c r="C22" s="55"/>
      <c r="D22" s="64"/>
      <c r="E22" s="67"/>
      <c r="F22" s="62"/>
      <c r="G22" s="58"/>
      <c r="H22" s="58"/>
      <c r="I22" s="58"/>
      <c r="J22" s="59"/>
      <c r="K22" s="43"/>
      <c r="L22" s="53" t="s">
        <v>30</v>
      </c>
      <c r="M22" s="65"/>
      <c r="N22" s="108"/>
      <c r="O22" s="66"/>
      <c r="P22" s="104"/>
      <c r="Q22" s="105"/>
      <c r="R22" s="106"/>
      <c r="S22" s="106"/>
      <c r="T22" s="106"/>
      <c r="U22" s="109"/>
    </row>
    <row r="23" ht="14.25" customHeight="1">
      <c r="A23" s="53" t="s">
        <v>31</v>
      </c>
      <c r="B23" s="65"/>
      <c r="C23" s="12"/>
      <c r="D23" s="64"/>
      <c r="E23" s="67"/>
      <c r="F23" s="62"/>
      <c r="G23" s="58"/>
      <c r="H23" s="58"/>
      <c r="I23" s="58"/>
      <c r="J23" s="59"/>
      <c r="K23" s="43"/>
      <c r="L23" s="53" t="s">
        <v>31</v>
      </c>
      <c r="M23" s="69"/>
      <c r="N23" s="108"/>
      <c r="O23" s="70"/>
      <c r="P23" s="104"/>
      <c r="Q23" s="105"/>
      <c r="R23" s="106"/>
      <c r="S23" s="106"/>
      <c r="T23" s="106"/>
      <c r="U23" s="109"/>
    </row>
    <row r="24" ht="14.25" customHeight="1">
      <c r="A24" s="72" t="s">
        <v>32</v>
      </c>
      <c r="B24" s="80"/>
      <c r="C24" s="26"/>
      <c r="D24" s="130"/>
      <c r="E24" s="127"/>
      <c r="F24" s="76"/>
      <c r="G24" s="77"/>
      <c r="H24" s="77"/>
      <c r="I24" s="77"/>
      <c r="J24" s="78"/>
      <c r="K24" s="43"/>
      <c r="L24" s="72" t="s">
        <v>32</v>
      </c>
      <c r="M24" s="110"/>
      <c r="N24" s="111"/>
      <c r="O24" s="81"/>
      <c r="P24" s="112"/>
      <c r="Q24" s="113"/>
      <c r="R24" s="114"/>
      <c r="S24" s="114"/>
      <c r="T24" s="114"/>
      <c r="U24" s="115"/>
    </row>
    <row r="25" ht="14.25" customHeight="1">
      <c r="A25" s="34" t="s">
        <v>33</v>
      </c>
      <c r="B25" s="82" t="s">
        <v>34</v>
      </c>
      <c r="C25" s="34" t="s">
        <v>35</v>
      </c>
      <c r="D25" s="128" t="s">
        <v>36</v>
      </c>
      <c r="E25" s="9"/>
      <c r="F25" s="43"/>
      <c r="G25" s="43"/>
      <c r="H25" s="43"/>
      <c r="I25" s="43"/>
      <c r="J25" s="43"/>
      <c r="K25" s="43"/>
      <c r="L25" s="34" t="s">
        <v>33</v>
      </c>
      <c r="M25" s="82" t="s">
        <v>34</v>
      </c>
      <c r="N25" s="82" t="s">
        <v>35</v>
      </c>
      <c r="O25" s="83" t="s">
        <v>36</v>
      </c>
      <c r="P25" s="9"/>
      <c r="Q25" s="35"/>
      <c r="R25" s="35"/>
      <c r="S25" s="35"/>
      <c r="T25" s="35"/>
      <c r="U25" s="35"/>
    </row>
    <row r="26" ht="14.25" customHeight="1">
      <c r="A26" s="86" t="s">
        <v>37</v>
      </c>
      <c r="B26" s="87" t="s">
        <v>38</v>
      </c>
      <c r="C26" s="87" t="s">
        <v>39</v>
      </c>
      <c r="D26" s="51"/>
      <c r="E26" s="21"/>
      <c r="F26" s="43"/>
      <c r="G26" s="43"/>
      <c r="H26" s="43"/>
      <c r="I26" s="43"/>
      <c r="J26" s="43"/>
      <c r="K26" s="43"/>
      <c r="L26" s="86" t="s">
        <v>37</v>
      </c>
      <c r="M26" s="87"/>
      <c r="N26" s="88"/>
      <c r="O26" s="35"/>
      <c r="P26" s="17"/>
      <c r="Q26" s="35"/>
      <c r="R26" s="35"/>
      <c r="S26" s="35"/>
      <c r="T26" s="35"/>
      <c r="U26" s="35"/>
    </row>
    <row r="27" ht="14.25" customHeight="1">
      <c r="A27" s="89" t="s">
        <v>40</v>
      </c>
      <c r="B27" s="90"/>
      <c r="C27" s="90"/>
      <c r="D27" s="129"/>
      <c r="E27" s="31"/>
      <c r="F27" s="43"/>
      <c r="G27" s="43"/>
      <c r="H27" s="43"/>
      <c r="I27" s="43"/>
      <c r="J27" s="43"/>
      <c r="K27" s="43"/>
      <c r="L27" s="89" t="s">
        <v>40</v>
      </c>
      <c r="M27" s="89"/>
      <c r="N27" s="116"/>
      <c r="O27" s="29"/>
      <c r="P27" s="31"/>
      <c r="Q27" s="35"/>
      <c r="R27" s="35"/>
      <c r="S27" s="35"/>
      <c r="T27" s="35"/>
      <c r="U27" s="35"/>
    </row>
    <row r="28" ht="14.25" customHeight="1">
      <c r="A28" s="96"/>
      <c r="B28" s="96"/>
      <c r="C28" s="96"/>
      <c r="D28" s="117"/>
      <c r="E28" s="117"/>
      <c r="F28" s="118" t="s">
        <v>13</v>
      </c>
      <c r="G28" s="20"/>
      <c r="H28" s="20"/>
      <c r="I28" s="20"/>
      <c r="J28" s="21"/>
      <c r="K28" s="92"/>
      <c r="L28" s="96"/>
      <c r="M28" s="96"/>
      <c r="N28" s="97"/>
      <c r="O28" s="98"/>
      <c r="P28" s="98"/>
      <c r="Q28" s="34" t="s">
        <v>13</v>
      </c>
      <c r="R28" s="7"/>
      <c r="S28" s="7"/>
      <c r="T28" s="7"/>
      <c r="U28" s="9"/>
    </row>
    <row r="29" ht="14.25" customHeight="1">
      <c r="A29" s="35"/>
      <c r="B29" s="36" t="s">
        <v>14</v>
      </c>
      <c r="C29" s="119" t="s">
        <v>15</v>
      </c>
      <c r="D29" s="120" t="s">
        <v>16</v>
      </c>
      <c r="E29" s="121" t="s">
        <v>17</v>
      </c>
      <c r="F29" s="40" t="s">
        <v>18</v>
      </c>
      <c r="G29" s="41" t="s">
        <v>19</v>
      </c>
      <c r="H29" s="41" t="s">
        <v>20</v>
      </c>
      <c r="I29" s="41" t="s">
        <v>21</v>
      </c>
      <c r="J29" s="42" t="s">
        <v>22</v>
      </c>
      <c r="K29" s="43"/>
      <c r="L29" s="35"/>
      <c r="M29" s="36" t="s">
        <v>14</v>
      </c>
      <c r="N29" s="37" t="s">
        <v>15</v>
      </c>
      <c r="O29" s="38" t="s">
        <v>16</v>
      </c>
      <c r="P29" s="39" t="s">
        <v>17</v>
      </c>
      <c r="Q29" s="40" t="s">
        <v>18</v>
      </c>
      <c r="R29" s="41" t="s">
        <v>19</v>
      </c>
      <c r="S29" s="41" t="s">
        <v>20</v>
      </c>
      <c r="T29" s="41" t="s">
        <v>21</v>
      </c>
      <c r="U29" s="42" t="s">
        <v>22</v>
      </c>
    </row>
    <row r="30" ht="14.25" customHeight="1">
      <c r="A30" s="45" t="s">
        <v>23</v>
      </c>
      <c r="B30" s="52" t="s">
        <v>57</v>
      </c>
      <c r="C30" s="7"/>
      <c r="D30" s="9"/>
      <c r="E30" s="47"/>
      <c r="F30" s="100"/>
      <c r="G30" s="101"/>
      <c r="H30" s="101"/>
      <c r="I30" s="101"/>
      <c r="J30" s="102"/>
      <c r="K30" s="43"/>
      <c r="L30" s="45" t="s">
        <v>23</v>
      </c>
      <c r="M30" s="122"/>
      <c r="N30" s="7"/>
      <c r="O30" s="9"/>
      <c r="P30" s="99"/>
      <c r="Q30" s="100"/>
      <c r="R30" s="101"/>
      <c r="S30" s="101"/>
      <c r="T30" s="101"/>
      <c r="U30" s="102"/>
    </row>
    <row r="31" ht="14.25" customHeight="1">
      <c r="A31" s="53" t="s">
        <v>25</v>
      </c>
      <c r="B31" s="61" t="s">
        <v>58</v>
      </c>
      <c r="C31" s="55"/>
      <c r="D31" s="56" t="s">
        <v>27</v>
      </c>
      <c r="E31" s="57"/>
      <c r="F31" s="105"/>
      <c r="G31" s="106"/>
      <c r="H31" s="106"/>
      <c r="I31" s="106"/>
      <c r="J31" s="107"/>
      <c r="K31" s="43"/>
      <c r="L31" s="53" t="s">
        <v>25</v>
      </c>
      <c r="M31" s="131"/>
      <c r="N31" s="55"/>
      <c r="O31" s="123"/>
      <c r="P31" s="104"/>
      <c r="Q31" s="105"/>
      <c r="R31" s="106"/>
      <c r="S31" s="106"/>
      <c r="T31" s="106"/>
      <c r="U31" s="109"/>
    </row>
    <row r="32" ht="14.25" customHeight="1">
      <c r="A32" s="53" t="s">
        <v>28</v>
      </c>
      <c r="B32" s="61" t="s">
        <v>59</v>
      </c>
      <c r="C32" s="55"/>
      <c r="D32" s="56" t="s">
        <v>27</v>
      </c>
      <c r="E32" s="57"/>
      <c r="F32" s="105"/>
      <c r="G32" s="106"/>
      <c r="H32" s="106"/>
      <c r="I32" s="106"/>
      <c r="J32" s="107"/>
      <c r="K32" s="43"/>
      <c r="L32" s="53" t="s">
        <v>28</v>
      </c>
      <c r="M32" s="131"/>
      <c r="N32" s="55"/>
      <c r="O32" s="70"/>
      <c r="P32" s="104"/>
      <c r="Q32" s="105"/>
      <c r="R32" s="106"/>
      <c r="S32" s="106"/>
      <c r="T32" s="106"/>
      <c r="U32" s="109"/>
    </row>
    <row r="33" ht="14.25" customHeight="1">
      <c r="A33" s="53" t="s">
        <v>30</v>
      </c>
      <c r="B33" s="65"/>
      <c r="C33" s="12"/>
      <c r="D33" s="66"/>
      <c r="E33" s="67"/>
      <c r="F33" s="105"/>
      <c r="G33" s="106"/>
      <c r="H33" s="106"/>
      <c r="I33" s="106"/>
      <c r="J33" s="109"/>
      <c r="K33" s="43"/>
      <c r="L33" s="53" t="s">
        <v>30</v>
      </c>
      <c r="M33" s="69"/>
      <c r="N33" s="12"/>
      <c r="O33" s="70"/>
      <c r="P33" s="104"/>
      <c r="Q33" s="105"/>
      <c r="R33" s="106"/>
      <c r="S33" s="106"/>
      <c r="T33" s="106"/>
      <c r="U33" s="109"/>
    </row>
    <row r="34" ht="14.25" customHeight="1">
      <c r="A34" s="53" t="s">
        <v>31</v>
      </c>
      <c r="B34" s="65"/>
      <c r="C34" s="12"/>
      <c r="D34" s="66"/>
      <c r="E34" s="67"/>
      <c r="F34" s="105"/>
      <c r="G34" s="106"/>
      <c r="H34" s="106"/>
      <c r="I34" s="106"/>
      <c r="J34" s="109"/>
      <c r="K34" s="43"/>
      <c r="L34" s="53" t="s">
        <v>31</v>
      </c>
      <c r="M34" s="69"/>
      <c r="N34" s="12"/>
      <c r="O34" s="70"/>
      <c r="P34" s="104"/>
      <c r="Q34" s="105"/>
      <c r="R34" s="106"/>
      <c r="S34" s="106"/>
      <c r="T34" s="106"/>
      <c r="U34" s="109"/>
    </row>
    <row r="35" ht="14.25" customHeight="1">
      <c r="A35" s="72" t="s">
        <v>32</v>
      </c>
      <c r="B35" s="80"/>
      <c r="C35" s="26"/>
      <c r="D35" s="81"/>
      <c r="E35" s="75"/>
      <c r="F35" s="113"/>
      <c r="G35" s="114"/>
      <c r="H35" s="114"/>
      <c r="I35" s="114"/>
      <c r="J35" s="115"/>
      <c r="K35" s="43"/>
      <c r="L35" s="72" t="s">
        <v>32</v>
      </c>
      <c r="M35" s="80"/>
      <c r="N35" s="26"/>
      <c r="O35" s="81"/>
      <c r="P35" s="112"/>
      <c r="Q35" s="113"/>
      <c r="R35" s="114"/>
      <c r="S35" s="114"/>
      <c r="T35" s="114"/>
      <c r="U35" s="115"/>
    </row>
    <row r="36" ht="14.25" customHeight="1">
      <c r="A36" s="34" t="s">
        <v>33</v>
      </c>
      <c r="B36" s="82" t="s">
        <v>34</v>
      </c>
      <c r="C36" s="82" t="s">
        <v>35</v>
      </c>
      <c r="D36" s="83" t="s">
        <v>36</v>
      </c>
      <c r="E36" s="9"/>
      <c r="F36" s="35"/>
      <c r="G36" s="35"/>
      <c r="H36" s="35"/>
      <c r="I36" s="35"/>
      <c r="J36" s="35"/>
      <c r="K36" s="43"/>
      <c r="L36" s="34" t="s">
        <v>33</v>
      </c>
      <c r="M36" s="82" t="s">
        <v>34</v>
      </c>
      <c r="N36" s="82" t="s">
        <v>35</v>
      </c>
      <c r="O36" s="83" t="s">
        <v>36</v>
      </c>
      <c r="P36" s="9"/>
      <c r="Q36" s="35"/>
      <c r="R36" s="35"/>
      <c r="S36" s="35"/>
      <c r="T36" s="35"/>
      <c r="U36" s="35"/>
    </row>
    <row r="37" ht="14.25" customHeight="1">
      <c r="A37" s="86" t="s">
        <v>37</v>
      </c>
      <c r="B37" s="87" t="s">
        <v>38</v>
      </c>
      <c r="C37" s="87" t="s">
        <v>39</v>
      </c>
      <c r="D37" s="51"/>
      <c r="E37" s="21"/>
      <c r="F37" s="35"/>
      <c r="G37" s="35"/>
      <c r="H37" s="35"/>
      <c r="I37" s="35"/>
      <c r="J37" s="35"/>
      <c r="K37" s="43"/>
      <c r="L37" s="86" t="s">
        <v>37</v>
      </c>
      <c r="M37" s="87"/>
      <c r="N37" s="88"/>
      <c r="O37" s="35"/>
      <c r="P37" s="17"/>
      <c r="Q37" s="35"/>
      <c r="R37" s="35"/>
      <c r="S37" s="35"/>
      <c r="T37" s="35"/>
      <c r="U37" s="35"/>
    </row>
    <row r="38" ht="14.25" customHeight="1">
      <c r="A38" s="89" t="s">
        <v>40</v>
      </c>
      <c r="B38" s="90"/>
      <c r="C38" s="90"/>
      <c r="D38" s="129"/>
      <c r="E38" s="31"/>
      <c r="F38" s="35"/>
      <c r="G38" s="35"/>
      <c r="H38" s="35"/>
      <c r="I38" s="35"/>
      <c r="J38" s="35"/>
      <c r="K38" s="43"/>
      <c r="L38" s="89" t="s">
        <v>40</v>
      </c>
      <c r="M38" s="89"/>
      <c r="N38" s="116"/>
      <c r="O38" s="29"/>
      <c r="P38" s="31"/>
      <c r="Q38" s="35"/>
      <c r="R38" s="35"/>
      <c r="S38" s="35"/>
      <c r="T38" s="35"/>
      <c r="U38" s="35"/>
    </row>
    <row r="39" ht="28.5" customHeight="1">
      <c r="A39" s="124"/>
    </row>
    <row r="40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</row>
    <row r="4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</row>
    <row r="50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</row>
    <row r="51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  <row r="58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</row>
    <row r="5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</row>
    <row r="60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</row>
    <row r="61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</row>
    <row r="6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6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</row>
    <row r="70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</row>
    <row r="74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</row>
    <row r="75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</row>
    <row r="76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</row>
    <row r="77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</row>
    <row r="78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</row>
    <row r="7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</row>
    <row r="80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ht="14.2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</sheetData>
  <mergeCells count="77">
    <mergeCell ref="M19:O19"/>
    <mergeCell ref="M20:N20"/>
    <mergeCell ref="N5:O5"/>
    <mergeCell ref="M8:O8"/>
    <mergeCell ref="M9:N9"/>
    <mergeCell ref="M10:N10"/>
    <mergeCell ref="M11:N11"/>
    <mergeCell ref="M12:N12"/>
    <mergeCell ref="M13:N13"/>
    <mergeCell ref="B19:D19"/>
    <mergeCell ref="B20:C20"/>
    <mergeCell ref="B21:C21"/>
    <mergeCell ref="M21:N21"/>
    <mergeCell ref="B22:C22"/>
    <mergeCell ref="M22:N22"/>
    <mergeCell ref="M23:N23"/>
    <mergeCell ref="B23:C23"/>
    <mergeCell ref="B24:C24"/>
    <mergeCell ref="D25:E25"/>
    <mergeCell ref="D26:E27"/>
    <mergeCell ref="O26:P27"/>
    <mergeCell ref="F28:J28"/>
    <mergeCell ref="Q28:U28"/>
    <mergeCell ref="B33:C33"/>
    <mergeCell ref="B34:C34"/>
    <mergeCell ref="B35:C35"/>
    <mergeCell ref="D36:E36"/>
    <mergeCell ref="D37:E38"/>
    <mergeCell ref="M34:N34"/>
    <mergeCell ref="M35:N35"/>
    <mergeCell ref="O36:P36"/>
    <mergeCell ref="O37:P38"/>
    <mergeCell ref="A39:U39"/>
    <mergeCell ref="B30:D30"/>
    <mergeCell ref="M30:O30"/>
    <mergeCell ref="B31:C31"/>
    <mergeCell ref="M31:N31"/>
    <mergeCell ref="B32:C32"/>
    <mergeCell ref="M32:N32"/>
    <mergeCell ref="M33:N33"/>
    <mergeCell ref="A1:U1"/>
    <mergeCell ref="A2:B2"/>
    <mergeCell ref="C2:E2"/>
    <mergeCell ref="F2:J2"/>
    <mergeCell ref="K2:M2"/>
    <mergeCell ref="N2:U2"/>
    <mergeCell ref="A3:B3"/>
    <mergeCell ref="N3:T3"/>
    <mergeCell ref="C3:E3"/>
    <mergeCell ref="F3:M3"/>
    <mergeCell ref="C4:E4"/>
    <mergeCell ref="F4:J4"/>
    <mergeCell ref="K4:M4"/>
    <mergeCell ref="N4:O4"/>
    <mergeCell ref="R4:T4"/>
    <mergeCell ref="R5:T5"/>
    <mergeCell ref="Q6:U6"/>
    <mergeCell ref="A4:B4"/>
    <mergeCell ref="A5:B5"/>
    <mergeCell ref="C5:E5"/>
    <mergeCell ref="F5:J5"/>
    <mergeCell ref="K5:M5"/>
    <mergeCell ref="F6:J6"/>
    <mergeCell ref="B8:D8"/>
    <mergeCell ref="O14:P14"/>
    <mergeCell ref="O15:P16"/>
    <mergeCell ref="F17:J17"/>
    <mergeCell ref="Q17:U17"/>
    <mergeCell ref="B9:C9"/>
    <mergeCell ref="B10:C10"/>
    <mergeCell ref="B11:C11"/>
    <mergeCell ref="B12:C12"/>
    <mergeCell ref="B13:C13"/>
    <mergeCell ref="D14:E14"/>
    <mergeCell ref="D15:E16"/>
    <mergeCell ref="M24:N24"/>
    <mergeCell ref="O25:P25"/>
  </mergeCells>
  <dataValidations>
    <dataValidation type="list" allowBlank="1" sqref="B8 B19 B30">
      <formula1>MEMBRES!$K$2:$K$368</formula1>
    </dataValidation>
    <dataValidation type="list" allowBlank="1" sqref="D9:D13 O9:O13 D20:D24 O20:O24 D31:D35 O31:O35">
      <formula1>'Feuille 4'!$A$1:$A$26</formula1>
    </dataValidation>
    <dataValidation type="list" allowBlank="1" sqref="C3:C5 B9:B13 M8:M13 B20:B24 M19:M24 B31:B35 M30:M35">
      <formula1>MEMBRES!$K$2:$K$337</formula1>
    </dataValidation>
  </dataValidations>
  <printOptions horizontalCentered="1" verticalCentered="1"/>
  <pageMargins bottom="0.0" footer="0.0" header="0.0" left="0.39370078740157477" right="0.0" top="0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57"/>
    <col customWidth="1" min="3" max="3" width="14.86"/>
    <col customWidth="1" min="4" max="4" width="10.71"/>
    <col customWidth="1" min="5" max="5" width="6.71"/>
    <col customWidth="1" min="6" max="10" width="4.57"/>
    <col customWidth="1" min="11" max="11" width="0.43"/>
    <col customWidth="1" min="12" max="12" width="8.57"/>
    <col customWidth="1" min="13" max="13" width="12.57"/>
    <col customWidth="1" min="14" max="14" width="12.71"/>
    <col customWidth="1" min="15" max="15" width="9.71"/>
    <col customWidth="1" min="16" max="21" width="4.57"/>
  </cols>
  <sheetData>
    <row r="1" ht="14.25" customHeight="1">
      <c r="A1" s="1" t="s">
        <v>0</v>
      </c>
    </row>
    <row r="2" ht="17.25" customHeight="1">
      <c r="A2" s="2" t="s">
        <v>1</v>
      </c>
      <c r="B2" s="3"/>
      <c r="C2" s="4" t="s">
        <v>60</v>
      </c>
      <c r="D2" s="5"/>
      <c r="E2" s="3"/>
      <c r="F2" s="6" t="s">
        <v>3</v>
      </c>
      <c r="G2" s="7"/>
      <c r="H2" s="7"/>
      <c r="I2" s="7"/>
      <c r="J2" s="7"/>
      <c r="K2" s="8">
        <v>45906.0</v>
      </c>
      <c r="L2" s="7"/>
      <c r="M2" s="9"/>
      <c r="N2" s="10" t="s">
        <v>4</v>
      </c>
    </row>
    <row r="3" ht="14.25" customHeight="1">
      <c r="A3" s="11" t="s">
        <v>5</v>
      </c>
      <c r="B3" s="12"/>
      <c r="C3" s="13" t="s">
        <v>61</v>
      </c>
      <c r="D3" s="14"/>
      <c r="E3" s="15"/>
      <c r="F3" s="16" t="s">
        <v>7</v>
      </c>
      <c r="M3" s="17"/>
      <c r="N3" s="10" t="s">
        <v>8</v>
      </c>
      <c r="U3" s="18"/>
    </row>
    <row r="4" ht="14.25" customHeight="1">
      <c r="A4" s="11" t="s">
        <v>9</v>
      </c>
      <c r="B4" s="12"/>
      <c r="C4" s="19" t="s">
        <v>61</v>
      </c>
      <c r="D4" s="20"/>
      <c r="E4" s="21"/>
      <c r="F4" s="6" t="s">
        <v>10</v>
      </c>
      <c r="G4" s="7"/>
      <c r="H4" s="7"/>
      <c r="I4" s="7"/>
      <c r="J4" s="7"/>
      <c r="K4" s="22"/>
      <c r="L4" s="7"/>
      <c r="M4" s="9"/>
      <c r="N4" s="23"/>
      <c r="P4" s="24"/>
      <c r="Q4" s="24"/>
      <c r="R4" s="23"/>
      <c r="U4" s="24"/>
    </row>
    <row r="5" ht="14.25" customHeight="1">
      <c r="A5" s="25" t="s">
        <v>11</v>
      </c>
      <c r="B5" s="26"/>
      <c r="C5" s="27"/>
      <c r="D5" s="7"/>
      <c r="E5" s="9"/>
      <c r="F5" s="28" t="s">
        <v>12</v>
      </c>
      <c r="G5" s="29"/>
      <c r="H5" s="29"/>
      <c r="I5" s="29"/>
      <c r="J5" s="29"/>
      <c r="K5" s="30">
        <f>COUNTA(M8:N13,B8:C13,B19:C24,M19:N24,M30:N35,B30:C35)</f>
        <v>10</v>
      </c>
      <c r="L5" s="29"/>
      <c r="M5" s="31"/>
      <c r="N5" s="23"/>
      <c r="P5" s="24"/>
      <c r="Q5" s="24"/>
      <c r="R5" s="23"/>
      <c r="U5" s="24"/>
    </row>
    <row r="6" ht="14.25" customHeight="1">
      <c r="A6" s="32"/>
      <c r="B6" s="32"/>
      <c r="C6" s="32"/>
      <c r="D6" s="32"/>
      <c r="E6" s="32"/>
      <c r="F6" s="33" t="s">
        <v>13</v>
      </c>
      <c r="J6" s="17"/>
      <c r="K6" s="32"/>
      <c r="L6" s="32"/>
      <c r="M6" s="32"/>
      <c r="N6" s="32"/>
      <c r="O6" s="32"/>
      <c r="P6" s="32"/>
      <c r="Q6" s="34" t="s">
        <v>13</v>
      </c>
      <c r="R6" s="7"/>
      <c r="S6" s="7"/>
      <c r="T6" s="7"/>
      <c r="U6" s="9"/>
    </row>
    <row r="7" ht="14.25" customHeight="1">
      <c r="A7" s="35"/>
      <c r="B7" s="36" t="s">
        <v>14</v>
      </c>
      <c r="C7" s="37" t="s">
        <v>15</v>
      </c>
      <c r="D7" s="38" t="s">
        <v>16</v>
      </c>
      <c r="E7" s="39" t="s">
        <v>17</v>
      </c>
      <c r="F7" s="40" t="s">
        <v>18</v>
      </c>
      <c r="G7" s="41" t="s">
        <v>19</v>
      </c>
      <c r="H7" s="41" t="s">
        <v>20</v>
      </c>
      <c r="I7" s="41" t="s">
        <v>21</v>
      </c>
      <c r="J7" s="42" t="s">
        <v>22</v>
      </c>
      <c r="K7" s="32"/>
      <c r="L7" s="43"/>
      <c r="M7" s="36" t="s">
        <v>14</v>
      </c>
      <c r="N7" s="44" t="s">
        <v>15</v>
      </c>
      <c r="O7" s="38" t="s">
        <v>16</v>
      </c>
      <c r="P7" s="39" t="s">
        <v>17</v>
      </c>
      <c r="Q7" s="40" t="s">
        <v>18</v>
      </c>
      <c r="R7" s="41" t="s">
        <v>19</v>
      </c>
      <c r="S7" s="41" t="s">
        <v>20</v>
      </c>
      <c r="T7" s="41" t="s">
        <v>21</v>
      </c>
      <c r="U7" s="42" t="s">
        <v>22</v>
      </c>
    </row>
    <row r="8" ht="14.25" customHeight="1">
      <c r="A8" s="45" t="s">
        <v>23</v>
      </c>
      <c r="B8" s="46" t="s">
        <v>62</v>
      </c>
      <c r="C8" s="7"/>
      <c r="D8" s="9"/>
      <c r="E8" s="47"/>
      <c r="F8" s="48"/>
      <c r="G8" s="49"/>
      <c r="H8" s="49"/>
      <c r="I8" s="49"/>
      <c r="J8" s="50"/>
      <c r="K8" s="43"/>
      <c r="L8" s="51" t="s">
        <v>23</v>
      </c>
      <c r="M8" s="52"/>
      <c r="N8" s="7"/>
      <c r="O8" s="9"/>
      <c r="P8" s="47"/>
      <c r="Q8" s="48"/>
      <c r="R8" s="49"/>
      <c r="S8" s="49"/>
      <c r="T8" s="49"/>
      <c r="U8" s="50"/>
    </row>
    <row r="9" ht="14.25" customHeight="1">
      <c r="A9" s="53" t="s">
        <v>25</v>
      </c>
      <c r="B9" s="68" t="s">
        <v>63</v>
      </c>
      <c r="C9" s="55"/>
      <c r="D9" s="56" t="s">
        <v>64</v>
      </c>
      <c r="E9" s="57"/>
      <c r="F9" s="48"/>
      <c r="G9" s="49"/>
      <c r="H9" s="58"/>
      <c r="I9" s="58"/>
      <c r="J9" s="59" t="s">
        <v>65</v>
      </c>
      <c r="K9" s="43"/>
      <c r="L9" s="60" t="s">
        <v>25</v>
      </c>
      <c r="M9" s="61" t="s">
        <v>66</v>
      </c>
      <c r="N9" s="55"/>
      <c r="O9" s="56" t="s">
        <v>67</v>
      </c>
      <c r="P9" s="57"/>
      <c r="Q9" s="62"/>
      <c r="R9" s="58"/>
      <c r="S9" s="58"/>
      <c r="T9" s="63"/>
      <c r="U9" s="59"/>
    </row>
    <row r="10" ht="14.25" customHeight="1">
      <c r="A10" s="53" t="s">
        <v>28</v>
      </c>
      <c r="B10" s="68" t="s">
        <v>68</v>
      </c>
      <c r="C10" s="55"/>
      <c r="D10" s="64" t="s">
        <v>64</v>
      </c>
      <c r="E10" s="57"/>
      <c r="F10" s="48"/>
      <c r="G10" s="49"/>
      <c r="H10" s="58"/>
      <c r="I10" s="58"/>
      <c r="J10" s="59" t="s">
        <v>65</v>
      </c>
      <c r="K10" s="43"/>
      <c r="L10" s="60" t="s">
        <v>28</v>
      </c>
      <c r="M10" s="65" t="s">
        <v>69</v>
      </c>
      <c r="N10" s="12"/>
      <c r="O10" s="66" t="s">
        <v>67</v>
      </c>
      <c r="P10" s="67"/>
      <c r="Q10" s="62"/>
      <c r="R10" s="58"/>
      <c r="S10" s="58"/>
      <c r="T10" s="58"/>
      <c r="U10" s="59"/>
    </row>
    <row r="11" ht="14.25" customHeight="1">
      <c r="A11" s="53" t="s">
        <v>30</v>
      </c>
      <c r="B11" s="68"/>
      <c r="C11" s="55"/>
      <c r="D11" s="64"/>
      <c r="E11" s="67"/>
      <c r="F11" s="48"/>
      <c r="G11" s="49"/>
      <c r="H11" s="58"/>
      <c r="I11" s="58"/>
      <c r="J11" s="59"/>
      <c r="K11" s="43"/>
      <c r="L11" s="60" t="s">
        <v>30</v>
      </c>
      <c r="M11" s="65"/>
      <c r="N11" s="12"/>
      <c r="O11" s="66"/>
      <c r="P11" s="67"/>
      <c r="Q11" s="62"/>
      <c r="R11" s="58"/>
      <c r="S11" s="58"/>
      <c r="T11" s="58"/>
      <c r="U11" s="59"/>
    </row>
    <row r="12" ht="14.25" customHeight="1">
      <c r="A12" s="53" t="s">
        <v>31</v>
      </c>
      <c r="B12" s="68"/>
      <c r="C12" s="55"/>
      <c r="D12" s="64"/>
      <c r="E12" s="67"/>
      <c r="F12" s="48"/>
      <c r="G12" s="49"/>
      <c r="H12" s="58"/>
      <c r="I12" s="58"/>
      <c r="J12" s="59"/>
      <c r="K12" s="43"/>
      <c r="L12" s="60" t="s">
        <v>31</v>
      </c>
      <c r="M12" s="69"/>
      <c r="N12" s="12"/>
      <c r="O12" s="70"/>
      <c r="P12" s="67"/>
      <c r="Q12" s="62"/>
      <c r="R12" s="58"/>
      <c r="S12" s="58"/>
      <c r="T12" s="58"/>
      <c r="U12" s="71"/>
    </row>
    <row r="13" ht="14.25" customHeight="1">
      <c r="A13" s="72" t="s">
        <v>32</v>
      </c>
      <c r="B13" s="73"/>
      <c r="C13" s="26"/>
      <c r="D13" s="74"/>
      <c r="E13" s="75"/>
      <c r="F13" s="76"/>
      <c r="G13" s="77"/>
      <c r="H13" s="77"/>
      <c r="I13" s="77"/>
      <c r="J13" s="78"/>
      <c r="K13" s="43"/>
      <c r="L13" s="79" t="s">
        <v>32</v>
      </c>
      <c r="M13" s="80"/>
      <c r="N13" s="26"/>
      <c r="O13" s="81"/>
      <c r="P13" s="75"/>
      <c r="Q13" s="76"/>
      <c r="R13" s="77"/>
      <c r="S13" s="77"/>
      <c r="T13" s="77"/>
      <c r="U13" s="78"/>
    </row>
    <row r="14" ht="14.25" customHeight="1">
      <c r="A14" s="34" t="s">
        <v>33</v>
      </c>
      <c r="B14" s="82" t="s">
        <v>34</v>
      </c>
      <c r="C14" s="82" t="s">
        <v>35</v>
      </c>
      <c r="D14" s="83" t="s">
        <v>36</v>
      </c>
      <c r="E14" s="9"/>
      <c r="F14" s="43"/>
      <c r="G14" s="43"/>
      <c r="H14" s="43"/>
      <c r="I14" s="43"/>
      <c r="J14" s="43"/>
      <c r="K14" s="43"/>
      <c r="L14" s="34" t="s">
        <v>33</v>
      </c>
      <c r="M14" s="84" t="s">
        <v>34</v>
      </c>
      <c r="N14" s="84" t="s">
        <v>35</v>
      </c>
      <c r="O14" s="85" t="s">
        <v>36</v>
      </c>
      <c r="P14" s="31"/>
      <c r="Q14" s="43"/>
      <c r="R14" s="43"/>
      <c r="S14" s="43"/>
      <c r="T14" s="43"/>
      <c r="U14" s="43"/>
    </row>
    <row r="15" ht="14.25" customHeight="1">
      <c r="A15" s="86" t="s">
        <v>37</v>
      </c>
      <c r="B15" s="87">
        <v>60.0</v>
      </c>
      <c r="C15" s="88">
        <v>50.0</v>
      </c>
      <c r="D15" s="35"/>
      <c r="E15" s="17"/>
      <c r="F15" s="43"/>
      <c r="G15" s="43"/>
      <c r="H15" s="43"/>
      <c r="I15" s="43"/>
      <c r="J15" s="43"/>
      <c r="K15" s="43"/>
      <c r="L15" s="86" t="s">
        <v>37</v>
      </c>
      <c r="M15" s="87">
        <v>20.0</v>
      </c>
      <c r="N15" s="88">
        <v>50.0</v>
      </c>
      <c r="O15" s="35"/>
      <c r="P15" s="17"/>
      <c r="Q15" s="43"/>
      <c r="R15" s="43"/>
      <c r="S15" s="43"/>
      <c r="T15" s="43"/>
      <c r="U15" s="43"/>
    </row>
    <row r="16" ht="14.25" customHeight="1">
      <c r="A16" s="89" t="s">
        <v>40</v>
      </c>
      <c r="B16" s="90"/>
      <c r="C16" s="91"/>
      <c r="D16" s="29"/>
      <c r="E16" s="31"/>
      <c r="F16" s="43"/>
      <c r="G16" s="43"/>
      <c r="H16" s="43"/>
      <c r="I16" s="43"/>
      <c r="J16" s="43"/>
      <c r="K16" s="43"/>
      <c r="L16" s="89" t="s">
        <v>40</v>
      </c>
      <c r="M16" s="90"/>
      <c r="N16" s="91"/>
      <c r="O16" s="29"/>
      <c r="P16" s="31"/>
      <c r="Q16" s="43"/>
      <c r="R16" s="43"/>
      <c r="S16" s="43"/>
      <c r="T16" s="43"/>
      <c r="U16" s="43"/>
    </row>
    <row r="17" ht="14.25" customHeight="1">
      <c r="A17" s="92"/>
      <c r="B17" s="92"/>
      <c r="C17" s="93"/>
      <c r="D17" s="94"/>
      <c r="E17" s="94"/>
      <c r="F17" s="34" t="s">
        <v>13</v>
      </c>
      <c r="G17" s="7"/>
      <c r="H17" s="7"/>
      <c r="I17" s="7"/>
      <c r="J17" s="9"/>
      <c r="K17" s="95"/>
      <c r="L17" s="96"/>
      <c r="M17" s="96"/>
      <c r="N17" s="97"/>
      <c r="O17" s="98"/>
      <c r="P17" s="98"/>
      <c r="Q17" s="34" t="s">
        <v>13</v>
      </c>
      <c r="R17" s="7"/>
      <c r="S17" s="7"/>
      <c r="T17" s="7"/>
      <c r="U17" s="9"/>
    </row>
    <row r="18" ht="14.25" customHeight="1">
      <c r="A18" s="43"/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1" t="s">
        <v>19</v>
      </c>
      <c r="H18" s="41" t="s">
        <v>20</v>
      </c>
      <c r="I18" s="41" t="s">
        <v>21</v>
      </c>
      <c r="J18" s="42" t="s">
        <v>22</v>
      </c>
      <c r="K18" s="43"/>
      <c r="L18" s="35"/>
      <c r="M18" s="36" t="s">
        <v>14</v>
      </c>
      <c r="N18" s="37" t="s">
        <v>15</v>
      </c>
      <c r="O18" s="38" t="s">
        <v>16</v>
      </c>
      <c r="P18" s="39" t="s">
        <v>17</v>
      </c>
      <c r="Q18" s="40" t="s">
        <v>18</v>
      </c>
      <c r="R18" s="41" t="s">
        <v>19</v>
      </c>
      <c r="S18" s="41" t="s">
        <v>20</v>
      </c>
      <c r="T18" s="41" t="s">
        <v>21</v>
      </c>
      <c r="U18" s="42" t="s">
        <v>22</v>
      </c>
    </row>
    <row r="19" ht="14.25" customHeight="1">
      <c r="A19" s="45" t="s">
        <v>23</v>
      </c>
      <c r="B19" s="46" t="s">
        <v>61</v>
      </c>
      <c r="C19" s="7"/>
      <c r="D19" s="9"/>
      <c r="E19" s="47"/>
      <c r="F19" s="48"/>
      <c r="G19" s="49"/>
      <c r="H19" s="49"/>
      <c r="I19" s="49"/>
      <c r="J19" s="50"/>
      <c r="K19" s="43"/>
      <c r="L19" s="45" t="s">
        <v>23</v>
      </c>
      <c r="M19" s="52"/>
      <c r="N19" s="7"/>
      <c r="O19" s="9"/>
      <c r="P19" s="99"/>
      <c r="Q19" s="100"/>
      <c r="R19" s="101"/>
      <c r="S19" s="101"/>
      <c r="T19" s="101"/>
      <c r="U19" s="102"/>
    </row>
    <row r="20" ht="14.25" customHeight="1">
      <c r="A20" s="53" t="s">
        <v>25</v>
      </c>
      <c r="B20" s="68" t="s">
        <v>70</v>
      </c>
      <c r="C20" s="55"/>
      <c r="D20" s="64" t="s">
        <v>71</v>
      </c>
      <c r="E20" s="57"/>
      <c r="F20" s="62"/>
      <c r="G20" s="58"/>
      <c r="H20" s="58"/>
      <c r="I20" s="58"/>
      <c r="J20" s="59"/>
      <c r="K20" s="43"/>
      <c r="L20" s="53" t="s">
        <v>25</v>
      </c>
      <c r="M20" s="61"/>
      <c r="N20" s="103"/>
      <c r="O20" s="56"/>
      <c r="P20" s="104"/>
      <c r="Q20" s="105"/>
      <c r="R20" s="106"/>
      <c r="S20" s="106"/>
      <c r="T20" s="106"/>
      <c r="U20" s="107"/>
    </row>
    <row r="21" ht="14.25" customHeight="1">
      <c r="A21" s="53" t="s">
        <v>28</v>
      </c>
      <c r="B21" s="68" t="s">
        <v>72</v>
      </c>
      <c r="C21" s="55"/>
      <c r="D21" s="64" t="s">
        <v>71</v>
      </c>
      <c r="E21" s="57"/>
      <c r="F21" s="62"/>
      <c r="G21" s="58"/>
      <c r="H21" s="58"/>
      <c r="I21" s="58"/>
      <c r="J21" s="59"/>
      <c r="K21" s="43"/>
      <c r="L21" s="53" t="s">
        <v>28</v>
      </c>
      <c r="M21" s="61"/>
      <c r="N21" s="55"/>
      <c r="O21" s="66"/>
      <c r="P21" s="104"/>
      <c r="Q21" s="105"/>
      <c r="R21" s="106"/>
      <c r="S21" s="106"/>
      <c r="T21" s="106"/>
      <c r="U21" s="107"/>
    </row>
    <row r="22" ht="14.25" customHeight="1">
      <c r="A22" s="53" t="s">
        <v>30</v>
      </c>
      <c r="B22" s="68"/>
      <c r="C22" s="55"/>
      <c r="D22" s="64"/>
      <c r="E22" s="67"/>
      <c r="F22" s="62"/>
      <c r="G22" s="58"/>
      <c r="H22" s="58"/>
      <c r="I22" s="58"/>
      <c r="J22" s="59"/>
      <c r="K22" s="43"/>
      <c r="L22" s="53" t="s">
        <v>30</v>
      </c>
      <c r="M22" s="65"/>
      <c r="N22" s="108"/>
      <c r="O22" s="66"/>
      <c r="P22" s="104"/>
      <c r="Q22" s="105"/>
      <c r="R22" s="106"/>
      <c r="S22" s="106"/>
      <c r="T22" s="106"/>
      <c r="U22" s="109"/>
    </row>
    <row r="23" ht="14.25" customHeight="1">
      <c r="A23" s="53" t="s">
        <v>31</v>
      </c>
      <c r="B23" s="65"/>
      <c r="C23" s="12"/>
      <c r="D23" s="64"/>
      <c r="E23" s="67"/>
      <c r="F23" s="62"/>
      <c r="G23" s="58"/>
      <c r="H23" s="58"/>
      <c r="I23" s="58"/>
      <c r="J23" s="59"/>
      <c r="K23" s="43"/>
      <c r="L23" s="53" t="s">
        <v>31</v>
      </c>
      <c r="M23" s="69"/>
      <c r="N23" s="108"/>
      <c r="O23" s="70"/>
      <c r="P23" s="104"/>
      <c r="Q23" s="105"/>
      <c r="R23" s="106"/>
      <c r="S23" s="106"/>
      <c r="T23" s="106"/>
      <c r="U23" s="109"/>
    </row>
    <row r="24" ht="14.25" customHeight="1">
      <c r="A24" s="72" t="s">
        <v>32</v>
      </c>
      <c r="B24" s="80"/>
      <c r="C24" s="26"/>
      <c r="D24" s="81"/>
      <c r="E24" s="75"/>
      <c r="F24" s="76"/>
      <c r="G24" s="77"/>
      <c r="H24" s="77"/>
      <c r="I24" s="77"/>
      <c r="J24" s="78"/>
      <c r="K24" s="43"/>
      <c r="L24" s="72" t="s">
        <v>32</v>
      </c>
      <c r="M24" s="110"/>
      <c r="N24" s="111"/>
      <c r="O24" s="81"/>
      <c r="P24" s="112"/>
      <c r="Q24" s="113"/>
      <c r="R24" s="114"/>
      <c r="S24" s="114"/>
      <c r="T24" s="114"/>
      <c r="U24" s="115"/>
    </row>
    <row r="25" ht="14.25" customHeight="1">
      <c r="A25" s="34" t="s">
        <v>33</v>
      </c>
      <c r="B25" s="82" t="s">
        <v>34</v>
      </c>
      <c r="C25" s="82" t="s">
        <v>35</v>
      </c>
      <c r="D25" s="83" t="s">
        <v>36</v>
      </c>
      <c r="E25" s="9"/>
      <c r="F25" s="43"/>
      <c r="G25" s="43"/>
      <c r="H25" s="43"/>
      <c r="I25" s="43"/>
      <c r="J25" s="43"/>
      <c r="K25" s="43"/>
      <c r="L25" s="34" t="s">
        <v>33</v>
      </c>
      <c r="M25" s="82" t="s">
        <v>34</v>
      </c>
      <c r="N25" s="82" t="s">
        <v>35</v>
      </c>
      <c r="O25" s="83" t="s">
        <v>36</v>
      </c>
      <c r="P25" s="9"/>
      <c r="Q25" s="35"/>
      <c r="R25" s="35"/>
      <c r="S25" s="35"/>
      <c r="T25" s="35"/>
      <c r="U25" s="35"/>
    </row>
    <row r="26" ht="14.25" customHeight="1">
      <c r="A26" s="86" t="s">
        <v>37</v>
      </c>
      <c r="B26" s="87">
        <v>20.0</v>
      </c>
      <c r="C26" s="88">
        <v>50.0</v>
      </c>
      <c r="D26" s="35"/>
      <c r="E26" s="17"/>
      <c r="F26" s="43"/>
      <c r="G26" s="43"/>
      <c r="H26" s="43"/>
      <c r="I26" s="43"/>
      <c r="J26" s="43"/>
      <c r="K26" s="43"/>
      <c r="L26" s="86" t="s">
        <v>37</v>
      </c>
      <c r="M26" s="87"/>
      <c r="N26" s="88"/>
      <c r="O26" s="35"/>
      <c r="P26" s="17"/>
      <c r="Q26" s="35"/>
      <c r="R26" s="35"/>
      <c r="S26" s="35"/>
      <c r="T26" s="35"/>
      <c r="U26" s="35"/>
    </row>
    <row r="27" ht="14.25" customHeight="1">
      <c r="A27" s="89" t="s">
        <v>40</v>
      </c>
      <c r="B27" s="90"/>
      <c r="C27" s="91"/>
      <c r="D27" s="29"/>
      <c r="E27" s="31"/>
      <c r="F27" s="43"/>
      <c r="G27" s="43"/>
      <c r="H27" s="43"/>
      <c r="I27" s="43"/>
      <c r="J27" s="43"/>
      <c r="K27" s="43"/>
      <c r="L27" s="89" t="s">
        <v>40</v>
      </c>
      <c r="M27" s="89"/>
      <c r="N27" s="116"/>
      <c r="O27" s="29"/>
      <c r="P27" s="31"/>
      <c r="Q27" s="35"/>
      <c r="R27" s="35"/>
      <c r="S27" s="35"/>
      <c r="T27" s="35"/>
      <c r="U27" s="35"/>
    </row>
    <row r="28" ht="14.25" customHeight="1">
      <c r="A28" s="96"/>
      <c r="B28" s="96"/>
      <c r="C28" s="96"/>
      <c r="D28" s="117"/>
      <c r="E28" s="117"/>
      <c r="F28" s="118" t="s">
        <v>13</v>
      </c>
      <c r="G28" s="20"/>
      <c r="H28" s="20"/>
      <c r="I28" s="20"/>
      <c r="J28" s="21"/>
      <c r="K28" s="92"/>
      <c r="L28" s="96"/>
      <c r="M28" s="96"/>
      <c r="N28" s="97"/>
      <c r="O28" s="98"/>
      <c r="P28" s="98"/>
      <c r="Q28" s="34" t="s">
        <v>13</v>
      </c>
      <c r="R28" s="7"/>
      <c r="S28" s="7"/>
      <c r="T28" s="7"/>
      <c r="U28" s="9"/>
    </row>
    <row r="29" ht="14.25" customHeight="1">
      <c r="A29" s="35"/>
      <c r="B29" s="36" t="s">
        <v>14</v>
      </c>
      <c r="C29" s="119" t="s">
        <v>15</v>
      </c>
      <c r="D29" s="120" t="s">
        <v>16</v>
      </c>
      <c r="E29" s="121" t="s">
        <v>17</v>
      </c>
      <c r="F29" s="40" t="s">
        <v>18</v>
      </c>
      <c r="G29" s="41" t="s">
        <v>19</v>
      </c>
      <c r="H29" s="41" t="s">
        <v>20</v>
      </c>
      <c r="I29" s="41" t="s">
        <v>21</v>
      </c>
      <c r="J29" s="42" t="s">
        <v>22</v>
      </c>
      <c r="K29" s="43"/>
      <c r="L29" s="35"/>
      <c r="M29" s="36" t="s">
        <v>14</v>
      </c>
      <c r="N29" s="37" t="s">
        <v>15</v>
      </c>
      <c r="O29" s="38" t="s">
        <v>16</v>
      </c>
      <c r="P29" s="39" t="s">
        <v>17</v>
      </c>
      <c r="Q29" s="40" t="s">
        <v>18</v>
      </c>
      <c r="R29" s="41" t="s">
        <v>19</v>
      </c>
      <c r="S29" s="41" t="s">
        <v>20</v>
      </c>
      <c r="T29" s="41" t="s">
        <v>21</v>
      </c>
      <c r="U29" s="42" t="s">
        <v>22</v>
      </c>
    </row>
    <row r="30" ht="14.25" customHeight="1">
      <c r="A30" s="45" t="s">
        <v>23</v>
      </c>
      <c r="B30" s="52"/>
      <c r="C30" s="7"/>
      <c r="D30" s="9"/>
      <c r="E30" s="47"/>
      <c r="F30" s="100"/>
      <c r="G30" s="101"/>
      <c r="H30" s="101"/>
      <c r="I30" s="101"/>
      <c r="J30" s="102"/>
      <c r="K30" s="43"/>
      <c r="L30" s="45" t="s">
        <v>23</v>
      </c>
      <c r="M30" s="122"/>
      <c r="N30" s="7"/>
      <c r="O30" s="9"/>
      <c r="P30" s="99"/>
      <c r="Q30" s="100"/>
      <c r="R30" s="101"/>
      <c r="S30" s="101"/>
      <c r="T30" s="101"/>
      <c r="U30" s="102"/>
    </row>
    <row r="31" ht="14.25" customHeight="1">
      <c r="A31" s="53" t="s">
        <v>25</v>
      </c>
      <c r="B31" s="61" t="s">
        <v>73</v>
      </c>
      <c r="C31" s="55"/>
      <c r="D31" s="66" t="s">
        <v>74</v>
      </c>
      <c r="E31" s="57"/>
      <c r="F31" s="105"/>
      <c r="G31" s="106"/>
      <c r="H31" s="106"/>
      <c r="I31" s="106"/>
      <c r="J31" s="107"/>
      <c r="K31" s="43"/>
      <c r="L31" s="53" t="s">
        <v>25</v>
      </c>
      <c r="M31" s="131"/>
      <c r="N31" s="55"/>
      <c r="O31" s="123"/>
      <c r="P31" s="104"/>
      <c r="Q31" s="105"/>
      <c r="R31" s="106"/>
      <c r="S31" s="106"/>
      <c r="T31" s="106"/>
      <c r="U31" s="109"/>
    </row>
    <row r="32" ht="14.25" customHeight="1">
      <c r="A32" s="53" t="s">
        <v>28</v>
      </c>
      <c r="B32" s="61" t="s">
        <v>75</v>
      </c>
      <c r="C32" s="55"/>
      <c r="D32" s="66" t="s">
        <v>74</v>
      </c>
      <c r="E32" s="57"/>
      <c r="F32" s="105"/>
      <c r="G32" s="106"/>
      <c r="H32" s="106"/>
      <c r="I32" s="106"/>
      <c r="J32" s="107"/>
      <c r="K32" s="43"/>
      <c r="L32" s="53" t="s">
        <v>28</v>
      </c>
      <c r="M32" s="131"/>
      <c r="N32" s="55"/>
      <c r="O32" s="70"/>
      <c r="P32" s="104"/>
      <c r="Q32" s="105"/>
      <c r="R32" s="106"/>
      <c r="S32" s="106"/>
      <c r="T32" s="106"/>
      <c r="U32" s="109"/>
    </row>
    <row r="33" ht="14.25" customHeight="1">
      <c r="A33" s="53" t="s">
        <v>30</v>
      </c>
      <c r="B33" s="65"/>
      <c r="C33" s="12"/>
      <c r="D33" s="66"/>
      <c r="E33" s="67"/>
      <c r="F33" s="105"/>
      <c r="G33" s="106"/>
      <c r="H33" s="106"/>
      <c r="I33" s="106"/>
      <c r="J33" s="109"/>
      <c r="K33" s="43"/>
      <c r="L33" s="53" t="s">
        <v>30</v>
      </c>
      <c r="M33" s="69"/>
      <c r="N33" s="12"/>
      <c r="O33" s="70"/>
      <c r="P33" s="104"/>
      <c r="Q33" s="105"/>
      <c r="R33" s="106"/>
      <c r="S33" s="106"/>
      <c r="T33" s="106"/>
      <c r="U33" s="109"/>
    </row>
    <row r="34" ht="14.25" customHeight="1">
      <c r="A34" s="53" t="s">
        <v>31</v>
      </c>
      <c r="B34" s="65"/>
      <c r="C34" s="12"/>
      <c r="D34" s="66"/>
      <c r="E34" s="67"/>
      <c r="F34" s="105"/>
      <c r="G34" s="106"/>
      <c r="H34" s="106"/>
      <c r="I34" s="106"/>
      <c r="J34" s="109"/>
      <c r="K34" s="43"/>
      <c r="L34" s="53" t="s">
        <v>31</v>
      </c>
      <c r="M34" s="69"/>
      <c r="N34" s="12"/>
      <c r="O34" s="70"/>
      <c r="P34" s="104"/>
      <c r="Q34" s="105"/>
      <c r="R34" s="106"/>
      <c r="S34" s="106"/>
      <c r="T34" s="106"/>
      <c r="U34" s="109"/>
    </row>
    <row r="35" ht="14.25" customHeight="1">
      <c r="A35" s="72" t="s">
        <v>32</v>
      </c>
      <c r="B35" s="80"/>
      <c r="C35" s="26"/>
      <c r="D35" s="81"/>
      <c r="E35" s="75"/>
      <c r="F35" s="113"/>
      <c r="G35" s="114"/>
      <c r="H35" s="114"/>
      <c r="I35" s="114"/>
      <c r="J35" s="115"/>
      <c r="K35" s="43"/>
      <c r="L35" s="72" t="s">
        <v>32</v>
      </c>
      <c r="M35" s="80"/>
      <c r="N35" s="26"/>
      <c r="O35" s="81"/>
      <c r="P35" s="112"/>
      <c r="Q35" s="113"/>
      <c r="R35" s="114"/>
      <c r="S35" s="114"/>
      <c r="T35" s="114"/>
      <c r="U35" s="115"/>
    </row>
    <row r="36" ht="14.25" customHeight="1">
      <c r="A36" s="34" t="s">
        <v>33</v>
      </c>
      <c r="B36" s="82" t="s">
        <v>34</v>
      </c>
      <c r="C36" s="82" t="s">
        <v>35</v>
      </c>
      <c r="D36" s="83" t="s">
        <v>36</v>
      </c>
      <c r="E36" s="9"/>
      <c r="F36" s="35"/>
      <c r="G36" s="35"/>
      <c r="H36" s="35"/>
      <c r="I36" s="35"/>
      <c r="J36" s="35"/>
      <c r="K36" s="43"/>
      <c r="L36" s="34" t="s">
        <v>33</v>
      </c>
      <c r="M36" s="82" t="s">
        <v>34</v>
      </c>
      <c r="N36" s="82" t="s">
        <v>35</v>
      </c>
      <c r="O36" s="83" t="s">
        <v>36</v>
      </c>
      <c r="P36" s="9"/>
      <c r="Q36" s="35"/>
      <c r="R36" s="35"/>
      <c r="S36" s="35"/>
      <c r="T36" s="35"/>
      <c r="U36" s="35"/>
    </row>
    <row r="37" ht="14.25" customHeight="1">
      <c r="A37" s="86" t="s">
        <v>37</v>
      </c>
      <c r="B37" s="87">
        <v>60.0</v>
      </c>
      <c r="C37" s="88">
        <v>50.0</v>
      </c>
      <c r="D37" s="35"/>
      <c r="E37" s="17"/>
      <c r="F37" s="35"/>
      <c r="G37" s="35"/>
      <c r="H37" s="35"/>
      <c r="I37" s="35"/>
      <c r="J37" s="35"/>
      <c r="K37" s="43"/>
      <c r="L37" s="86" t="s">
        <v>37</v>
      </c>
      <c r="M37" s="87"/>
      <c r="N37" s="88"/>
      <c r="O37" s="35"/>
      <c r="P37" s="17"/>
      <c r="Q37" s="35"/>
      <c r="R37" s="35"/>
      <c r="S37" s="35"/>
      <c r="T37" s="35"/>
      <c r="U37" s="35"/>
    </row>
    <row r="38" ht="14.25" customHeight="1">
      <c r="A38" s="89" t="s">
        <v>40</v>
      </c>
      <c r="B38" s="90"/>
      <c r="C38" s="91"/>
      <c r="D38" s="29"/>
      <c r="E38" s="31"/>
      <c r="F38" s="35"/>
      <c r="G38" s="35"/>
      <c r="H38" s="35"/>
      <c r="I38" s="35"/>
      <c r="J38" s="35"/>
      <c r="K38" s="43"/>
      <c r="L38" s="89" t="s">
        <v>40</v>
      </c>
      <c r="M38" s="89"/>
      <c r="N38" s="116"/>
      <c r="O38" s="29"/>
      <c r="P38" s="31"/>
      <c r="Q38" s="35"/>
      <c r="R38" s="35"/>
      <c r="S38" s="35"/>
      <c r="T38" s="35"/>
      <c r="U38" s="35"/>
    </row>
    <row r="39" ht="28.5" customHeight="1">
      <c r="A39" s="124"/>
    </row>
    <row r="40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</row>
    <row r="4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</row>
    <row r="50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</row>
    <row r="51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  <row r="58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</row>
    <row r="5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</row>
    <row r="60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</row>
    <row r="61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</row>
    <row r="6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6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</row>
    <row r="70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</row>
    <row r="74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</row>
    <row r="75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</row>
    <row r="76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</row>
    <row r="77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</row>
    <row r="78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</row>
    <row r="7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</row>
    <row r="80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ht="14.2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</sheetData>
  <mergeCells count="77">
    <mergeCell ref="M19:O19"/>
    <mergeCell ref="M20:N20"/>
    <mergeCell ref="N5:O5"/>
    <mergeCell ref="M8:O8"/>
    <mergeCell ref="M9:N9"/>
    <mergeCell ref="M10:N10"/>
    <mergeCell ref="M11:N11"/>
    <mergeCell ref="M12:N12"/>
    <mergeCell ref="M13:N13"/>
    <mergeCell ref="B19:D19"/>
    <mergeCell ref="B20:C20"/>
    <mergeCell ref="B21:C21"/>
    <mergeCell ref="M21:N21"/>
    <mergeCell ref="B22:C22"/>
    <mergeCell ref="M22:N22"/>
    <mergeCell ref="M23:N23"/>
    <mergeCell ref="B23:C23"/>
    <mergeCell ref="B24:C24"/>
    <mergeCell ref="D25:E25"/>
    <mergeCell ref="D26:E27"/>
    <mergeCell ref="O26:P27"/>
    <mergeCell ref="F28:J28"/>
    <mergeCell ref="Q28:U28"/>
    <mergeCell ref="B33:C33"/>
    <mergeCell ref="B34:C34"/>
    <mergeCell ref="B35:C35"/>
    <mergeCell ref="D36:E36"/>
    <mergeCell ref="D37:E38"/>
    <mergeCell ref="M34:N34"/>
    <mergeCell ref="M35:N35"/>
    <mergeCell ref="O36:P36"/>
    <mergeCell ref="O37:P38"/>
    <mergeCell ref="A39:U39"/>
    <mergeCell ref="B30:D30"/>
    <mergeCell ref="M30:O30"/>
    <mergeCell ref="B31:C31"/>
    <mergeCell ref="M31:N31"/>
    <mergeCell ref="B32:C32"/>
    <mergeCell ref="M32:N32"/>
    <mergeCell ref="M33:N33"/>
    <mergeCell ref="A1:U1"/>
    <mergeCell ref="A2:B2"/>
    <mergeCell ref="C2:E2"/>
    <mergeCell ref="F2:J2"/>
    <mergeCell ref="K2:M2"/>
    <mergeCell ref="N2:U2"/>
    <mergeCell ref="A3:B3"/>
    <mergeCell ref="N3:T3"/>
    <mergeCell ref="C3:E3"/>
    <mergeCell ref="F3:M3"/>
    <mergeCell ref="C4:E4"/>
    <mergeCell ref="F4:J4"/>
    <mergeCell ref="K4:M4"/>
    <mergeCell ref="N4:O4"/>
    <mergeCell ref="R4:T4"/>
    <mergeCell ref="R5:T5"/>
    <mergeCell ref="Q6:U6"/>
    <mergeCell ref="A4:B4"/>
    <mergeCell ref="A5:B5"/>
    <mergeCell ref="C5:E5"/>
    <mergeCell ref="F5:J5"/>
    <mergeCell ref="K5:M5"/>
    <mergeCell ref="F6:J6"/>
    <mergeCell ref="B8:D8"/>
    <mergeCell ref="O14:P14"/>
    <mergeCell ref="O15:P16"/>
    <mergeCell ref="F17:J17"/>
    <mergeCell ref="Q17:U17"/>
    <mergeCell ref="B9:C9"/>
    <mergeCell ref="B10:C10"/>
    <mergeCell ref="B11:C11"/>
    <mergeCell ref="B12:C12"/>
    <mergeCell ref="B13:C13"/>
    <mergeCell ref="D14:E14"/>
    <mergeCell ref="D15:E16"/>
    <mergeCell ref="M24:N24"/>
    <mergeCell ref="O25:P25"/>
  </mergeCells>
  <dataValidations>
    <dataValidation type="list" allowBlank="1" sqref="B8 B19 B30">
      <formula1>MEMBRES!$K$2:$K$368</formula1>
    </dataValidation>
    <dataValidation type="list" allowBlank="1" sqref="D9:D13 O9:O13 D20:D24 O20:O24 D31:D35 O31:O35">
      <formula1>'Feuille 4'!$A$1:$A$26</formula1>
    </dataValidation>
    <dataValidation type="list" allowBlank="1" sqref="C3:C5 B9:B13 M8:M13 B20:B24 M19:M24 B31:B35 M30:M35">
      <formula1>MEMBRES!$K$2:$K$337</formula1>
    </dataValidation>
  </dataValidations>
  <printOptions horizontalCentered="1" verticalCentered="1"/>
  <pageMargins bottom="0.0" footer="0.0" header="0.0" left="0.39370078740157477" right="0.0" top="0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57"/>
    <col customWidth="1" min="3" max="3" width="14.86"/>
    <col customWidth="1" min="4" max="4" width="10.71"/>
    <col customWidth="1" min="5" max="5" width="6.71"/>
    <col customWidth="1" min="6" max="10" width="4.57"/>
    <col customWidth="1" min="11" max="11" width="0.43"/>
    <col customWidth="1" min="12" max="12" width="8.57"/>
    <col customWidth="1" min="13" max="13" width="12.57"/>
    <col customWidth="1" min="14" max="14" width="12.71"/>
    <col customWidth="1" min="15" max="15" width="9.71"/>
    <col customWidth="1" min="16" max="21" width="4.57"/>
  </cols>
  <sheetData>
    <row r="1" ht="14.25" customHeight="1">
      <c r="A1" s="1" t="s">
        <v>0</v>
      </c>
    </row>
    <row r="2" ht="17.25" customHeight="1">
      <c r="A2" s="2" t="s">
        <v>1</v>
      </c>
      <c r="B2" s="3"/>
      <c r="C2" s="4" t="s">
        <v>76</v>
      </c>
      <c r="D2" s="5"/>
      <c r="E2" s="3"/>
      <c r="F2" s="6" t="s">
        <v>3</v>
      </c>
      <c r="G2" s="7"/>
      <c r="H2" s="7"/>
      <c r="I2" s="7"/>
      <c r="J2" s="7"/>
      <c r="K2" s="8">
        <v>45906.0</v>
      </c>
      <c r="L2" s="7"/>
      <c r="M2" s="9"/>
      <c r="N2" s="10" t="s">
        <v>4</v>
      </c>
    </row>
    <row r="3" ht="14.25" customHeight="1">
      <c r="A3" s="11" t="s">
        <v>5</v>
      </c>
      <c r="B3" s="12"/>
      <c r="C3" s="13"/>
      <c r="D3" s="14"/>
      <c r="E3" s="15"/>
      <c r="F3" s="16" t="s">
        <v>7</v>
      </c>
      <c r="M3" s="17"/>
      <c r="N3" s="10" t="s">
        <v>8</v>
      </c>
      <c r="U3" s="18"/>
    </row>
    <row r="4" ht="14.25" customHeight="1">
      <c r="A4" s="11" t="s">
        <v>9</v>
      </c>
      <c r="B4" s="12"/>
      <c r="C4" s="19"/>
      <c r="D4" s="20"/>
      <c r="E4" s="21"/>
      <c r="F4" s="6" t="s">
        <v>10</v>
      </c>
      <c r="G4" s="7"/>
      <c r="H4" s="7"/>
      <c r="I4" s="7"/>
      <c r="J4" s="7"/>
      <c r="K4" s="22"/>
      <c r="L4" s="7"/>
      <c r="M4" s="9"/>
      <c r="N4" s="23"/>
      <c r="P4" s="24"/>
      <c r="Q4" s="24"/>
      <c r="R4" s="23"/>
      <c r="U4" s="24"/>
    </row>
    <row r="5" ht="14.25" customHeight="1">
      <c r="A5" s="25" t="s">
        <v>11</v>
      </c>
      <c r="B5" s="26"/>
      <c r="C5" s="27"/>
      <c r="D5" s="7"/>
      <c r="E5" s="9"/>
      <c r="F5" s="28" t="s">
        <v>12</v>
      </c>
      <c r="G5" s="29"/>
      <c r="H5" s="29"/>
      <c r="I5" s="29"/>
      <c r="J5" s="29"/>
      <c r="K5" s="30">
        <f>COUNTA(M8:N13,B8:C13,B19:C24,M19:N24,M30:N35,B30:C35)</f>
        <v>10</v>
      </c>
      <c r="L5" s="29"/>
      <c r="M5" s="31"/>
      <c r="N5" s="23"/>
      <c r="P5" s="24"/>
      <c r="Q5" s="24"/>
      <c r="R5" s="23"/>
      <c r="U5" s="24"/>
    </row>
    <row r="6" ht="14.25" customHeight="1">
      <c r="A6" s="32"/>
      <c r="B6" s="32"/>
      <c r="C6" s="32"/>
      <c r="D6" s="32"/>
      <c r="E6" s="32"/>
      <c r="F6" s="33" t="s">
        <v>13</v>
      </c>
      <c r="J6" s="17"/>
      <c r="K6" s="32"/>
      <c r="L6" s="32"/>
      <c r="M6" s="32"/>
      <c r="N6" s="32"/>
      <c r="O6" s="32"/>
      <c r="P6" s="32"/>
      <c r="Q6" s="34" t="s">
        <v>13</v>
      </c>
      <c r="R6" s="7"/>
      <c r="S6" s="7"/>
      <c r="T6" s="7"/>
      <c r="U6" s="9"/>
    </row>
    <row r="7" ht="14.25" customHeight="1">
      <c r="A7" s="35"/>
      <c r="B7" s="36" t="s">
        <v>14</v>
      </c>
      <c r="C7" s="37" t="s">
        <v>15</v>
      </c>
      <c r="D7" s="38" t="s">
        <v>16</v>
      </c>
      <c r="E7" s="39" t="s">
        <v>17</v>
      </c>
      <c r="F7" s="40" t="s">
        <v>18</v>
      </c>
      <c r="G7" s="41" t="s">
        <v>19</v>
      </c>
      <c r="H7" s="41" t="s">
        <v>20</v>
      </c>
      <c r="I7" s="41" t="s">
        <v>21</v>
      </c>
      <c r="J7" s="42" t="s">
        <v>22</v>
      </c>
      <c r="K7" s="32"/>
      <c r="L7" s="43"/>
      <c r="M7" s="36" t="s">
        <v>14</v>
      </c>
      <c r="N7" s="44" t="s">
        <v>15</v>
      </c>
      <c r="O7" s="38" t="s">
        <v>16</v>
      </c>
      <c r="P7" s="39" t="s">
        <v>17</v>
      </c>
      <c r="Q7" s="40" t="s">
        <v>18</v>
      </c>
      <c r="R7" s="41" t="s">
        <v>19</v>
      </c>
      <c r="S7" s="41" t="s">
        <v>20</v>
      </c>
      <c r="T7" s="41" t="s">
        <v>21</v>
      </c>
      <c r="U7" s="42" t="s">
        <v>22</v>
      </c>
    </row>
    <row r="8" ht="14.25" customHeight="1">
      <c r="A8" s="45" t="s">
        <v>23</v>
      </c>
      <c r="B8" s="52" t="s">
        <v>77</v>
      </c>
      <c r="C8" s="7"/>
      <c r="D8" s="9"/>
      <c r="E8" s="47"/>
      <c r="F8" s="48"/>
      <c r="G8" s="49"/>
      <c r="H8" s="49"/>
      <c r="I8" s="49"/>
      <c r="J8" s="50"/>
      <c r="K8" s="43"/>
      <c r="L8" s="51" t="s">
        <v>23</v>
      </c>
      <c r="M8" s="52"/>
      <c r="N8" s="7"/>
      <c r="O8" s="9"/>
      <c r="P8" s="47"/>
      <c r="Q8" s="48"/>
      <c r="R8" s="49"/>
      <c r="S8" s="49"/>
      <c r="T8" s="49"/>
      <c r="U8" s="50"/>
    </row>
    <row r="9" ht="14.25" customHeight="1">
      <c r="A9" s="53" t="s">
        <v>25</v>
      </c>
      <c r="B9" s="54" t="s">
        <v>78</v>
      </c>
      <c r="C9" s="55"/>
      <c r="D9" s="56" t="s">
        <v>27</v>
      </c>
      <c r="E9" s="57"/>
      <c r="F9" s="48"/>
      <c r="G9" s="49"/>
      <c r="H9" s="58"/>
      <c r="I9" s="58"/>
      <c r="J9" s="59"/>
      <c r="K9" s="43"/>
      <c r="L9" s="60" t="s">
        <v>25</v>
      </c>
      <c r="M9" s="61" t="s">
        <v>79</v>
      </c>
      <c r="N9" s="103"/>
      <c r="O9" s="56" t="s">
        <v>80</v>
      </c>
      <c r="P9" s="57"/>
      <c r="Q9" s="62"/>
      <c r="R9" s="58"/>
      <c r="S9" s="58"/>
      <c r="T9" s="63"/>
      <c r="U9" s="59"/>
    </row>
    <row r="10" ht="14.25" customHeight="1">
      <c r="A10" s="53" t="s">
        <v>28</v>
      </c>
      <c r="B10" s="54" t="s">
        <v>81</v>
      </c>
      <c r="C10" s="55"/>
      <c r="D10" s="64" t="s">
        <v>27</v>
      </c>
      <c r="E10" s="57"/>
      <c r="F10" s="48"/>
      <c r="G10" s="49"/>
      <c r="H10" s="58"/>
      <c r="I10" s="58"/>
      <c r="J10" s="59"/>
      <c r="K10" s="43"/>
      <c r="L10" s="60" t="s">
        <v>28</v>
      </c>
      <c r="M10" s="61"/>
      <c r="N10" s="55"/>
      <c r="O10" s="66"/>
      <c r="P10" s="57"/>
      <c r="Q10" s="62"/>
      <c r="R10" s="58"/>
      <c r="S10" s="58"/>
      <c r="T10" s="58"/>
      <c r="U10" s="59"/>
    </row>
    <row r="11" ht="14.25" customHeight="1">
      <c r="A11" s="53" t="s">
        <v>30</v>
      </c>
      <c r="B11" s="68"/>
      <c r="C11" s="55"/>
      <c r="D11" s="64"/>
      <c r="E11" s="57"/>
      <c r="F11" s="48"/>
      <c r="G11" s="49"/>
      <c r="H11" s="58"/>
      <c r="I11" s="58"/>
      <c r="J11" s="59"/>
      <c r="K11" s="43"/>
      <c r="L11" s="60" t="s">
        <v>30</v>
      </c>
      <c r="M11" s="65"/>
      <c r="N11" s="108"/>
      <c r="O11" s="66"/>
      <c r="P11" s="67"/>
      <c r="Q11" s="62"/>
      <c r="R11" s="58"/>
      <c r="S11" s="58"/>
      <c r="T11" s="58"/>
      <c r="U11" s="59"/>
    </row>
    <row r="12" ht="14.25" customHeight="1">
      <c r="A12" s="53" t="s">
        <v>31</v>
      </c>
      <c r="B12" s="68"/>
      <c r="C12" s="55"/>
      <c r="D12" s="64"/>
      <c r="E12" s="57"/>
      <c r="F12" s="48"/>
      <c r="G12" s="49"/>
      <c r="H12" s="58"/>
      <c r="I12" s="58"/>
      <c r="J12" s="59"/>
      <c r="K12" s="43"/>
      <c r="L12" s="60" t="s">
        <v>31</v>
      </c>
      <c r="M12" s="69"/>
      <c r="N12" s="108"/>
      <c r="O12" s="70"/>
      <c r="P12" s="67"/>
      <c r="Q12" s="62"/>
      <c r="R12" s="58"/>
      <c r="S12" s="58"/>
      <c r="T12" s="58"/>
      <c r="U12" s="71"/>
    </row>
    <row r="13" ht="14.25" customHeight="1">
      <c r="A13" s="72" t="s">
        <v>32</v>
      </c>
      <c r="B13" s="73"/>
      <c r="C13" s="26"/>
      <c r="D13" s="74"/>
      <c r="E13" s="75"/>
      <c r="F13" s="76"/>
      <c r="G13" s="77"/>
      <c r="H13" s="77"/>
      <c r="I13" s="77"/>
      <c r="J13" s="78"/>
      <c r="K13" s="43"/>
      <c r="L13" s="79" t="s">
        <v>32</v>
      </c>
      <c r="M13" s="110"/>
      <c r="N13" s="111"/>
      <c r="O13" s="81"/>
      <c r="P13" s="75"/>
      <c r="Q13" s="76"/>
      <c r="R13" s="77"/>
      <c r="S13" s="77"/>
      <c r="T13" s="77"/>
      <c r="U13" s="78"/>
    </row>
    <row r="14" ht="14.25" customHeight="1">
      <c r="A14" s="34" t="s">
        <v>33</v>
      </c>
      <c r="B14" s="82" t="s">
        <v>34</v>
      </c>
      <c r="C14" s="82" t="s">
        <v>35</v>
      </c>
      <c r="D14" s="83" t="s">
        <v>36</v>
      </c>
      <c r="E14" s="9"/>
      <c r="F14" s="43"/>
      <c r="G14" s="43"/>
      <c r="H14" s="43"/>
      <c r="I14" s="43"/>
      <c r="J14" s="43"/>
      <c r="K14" s="43"/>
      <c r="L14" s="34" t="s">
        <v>33</v>
      </c>
      <c r="M14" s="82" t="s">
        <v>34</v>
      </c>
      <c r="N14" s="82" t="s">
        <v>35</v>
      </c>
      <c r="O14" s="85" t="s">
        <v>36</v>
      </c>
      <c r="P14" s="31"/>
      <c r="Q14" s="43"/>
      <c r="R14" s="43"/>
      <c r="S14" s="43"/>
      <c r="T14" s="43"/>
      <c r="U14" s="43"/>
    </row>
    <row r="15" ht="14.25" customHeight="1">
      <c r="A15" s="86" t="s">
        <v>37</v>
      </c>
      <c r="B15" s="87" t="s">
        <v>38</v>
      </c>
      <c r="C15" s="88" t="s">
        <v>39</v>
      </c>
      <c r="D15" s="35"/>
      <c r="E15" s="17"/>
      <c r="F15" s="43"/>
      <c r="G15" s="43"/>
      <c r="H15" s="43"/>
      <c r="I15" s="43"/>
      <c r="J15" s="43"/>
      <c r="K15" s="43"/>
      <c r="L15" s="86" t="s">
        <v>37</v>
      </c>
      <c r="M15" s="87"/>
      <c r="N15" s="88"/>
      <c r="O15" s="35"/>
      <c r="P15" s="17"/>
      <c r="Q15" s="43"/>
      <c r="R15" s="43"/>
      <c r="S15" s="43"/>
      <c r="T15" s="43"/>
      <c r="U15" s="43"/>
    </row>
    <row r="16" ht="14.25" customHeight="1">
      <c r="A16" s="89" t="s">
        <v>40</v>
      </c>
      <c r="B16" s="90"/>
      <c r="C16" s="91"/>
      <c r="D16" s="29"/>
      <c r="E16" s="31"/>
      <c r="F16" s="43"/>
      <c r="G16" s="43"/>
      <c r="H16" s="43"/>
      <c r="I16" s="43"/>
      <c r="J16" s="43"/>
      <c r="K16" s="43"/>
      <c r="L16" s="89" t="s">
        <v>40</v>
      </c>
      <c r="M16" s="90"/>
      <c r="N16" s="91"/>
      <c r="O16" s="29"/>
      <c r="P16" s="31"/>
      <c r="Q16" s="43"/>
      <c r="R16" s="43"/>
      <c r="S16" s="43"/>
      <c r="T16" s="43"/>
      <c r="U16" s="43"/>
    </row>
    <row r="17" ht="14.25" customHeight="1">
      <c r="A17" s="92"/>
      <c r="B17" s="92"/>
      <c r="C17" s="93"/>
      <c r="D17" s="94"/>
      <c r="E17" s="94"/>
      <c r="F17" s="34" t="s">
        <v>13</v>
      </c>
      <c r="G17" s="7"/>
      <c r="H17" s="7"/>
      <c r="I17" s="7"/>
      <c r="J17" s="9"/>
      <c r="K17" s="95"/>
      <c r="L17" s="96"/>
      <c r="M17" s="96"/>
      <c r="N17" s="97"/>
      <c r="O17" s="98"/>
      <c r="P17" s="98"/>
      <c r="Q17" s="34" t="s">
        <v>13</v>
      </c>
      <c r="R17" s="7"/>
      <c r="S17" s="7"/>
      <c r="T17" s="7"/>
      <c r="U17" s="9"/>
    </row>
    <row r="18" ht="14.25" customHeight="1">
      <c r="A18" s="43"/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1" t="s">
        <v>19</v>
      </c>
      <c r="H18" s="41" t="s">
        <v>20</v>
      </c>
      <c r="I18" s="41" t="s">
        <v>21</v>
      </c>
      <c r="J18" s="42" t="s">
        <v>22</v>
      </c>
      <c r="K18" s="43"/>
      <c r="L18" s="35"/>
      <c r="M18" s="36" t="s">
        <v>14</v>
      </c>
      <c r="N18" s="37" t="s">
        <v>15</v>
      </c>
      <c r="O18" s="38" t="s">
        <v>16</v>
      </c>
      <c r="P18" s="39" t="s">
        <v>17</v>
      </c>
      <c r="Q18" s="40" t="s">
        <v>18</v>
      </c>
      <c r="R18" s="41" t="s">
        <v>19</v>
      </c>
      <c r="S18" s="41" t="s">
        <v>20</v>
      </c>
      <c r="T18" s="41" t="s">
        <v>21</v>
      </c>
      <c r="U18" s="42" t="s">
        <v>22</v>
      </c>
    </row>
    <row r="19" ht="14.25" customHeight="1">
      <c r="A19" s="45" t="s">
        <v>23</v>
      </c>
      <c r="B19" s="52" t="s">
        <v>82</v>
      </c>
      <c r="C19" s="7"/>
      <c r="D19" s="9"/>
      <c r="E19" s="47"/>
      <c r="F19" s="48"/>
      <c r="G19" s="49"/>
      <c r="H19" s="49"/>
      <c r="I19" s="49"/>
      <c r="J19" s="50"/>
      <c r="K19" s="43"/>
      <c r="L19" s="45" t="s">
        <v>23</v>
      </c>
      <c r="M19" s="52"/>
      <c r="N19" s="7"/>
      <c r="O19" s="9"/>
      <c r="P19" s="99"/>
      <c r="Q19" s="100"/>
      <c r="R19" s="101"/>
      <c r="S19" s="101"/>
      <c r="T19" s="101"/>
      <c r="U19" s="102"/>
    </row>
    <row r="20" ht="14.25" customHeight="1">
      <c r="A20" s="53" t="s">
        <v>25</v>
      </c>
      <c r="B20" s="54" t="s">
        <v>83</v>
      </c>
      <c r="C20" s="55"/>
      <c r="D20" s="56" t="s">
        <v>27</v>
      </c>
      <c r="E20" s="57"/>
      <c r="F20" s="62"/>
      <c r="G20" s="58"/>
      <c r="H20" s="58"/>
      <c r="I20" s="58"/>
      <c r="J20" s="59"/>
      <c r="K20" s="43"/>
      <c r="L20" s="53" t="s">
        <v>25</v>
      </c>
      <c r="M20" s="61"/>
      <c r="N20" s="103"/>
      <c r="O20" s="56"/>
      <c r="P20" s="104"/>
      <c r="Q20" s="105"/>
      <c r="R20" s="106"/>
      <c r="S20" s="106"/>
      <c r="T20" s="106"/>
      <c r="U20" s="107"/>
    </row>
    <row r="21" ht="14.25" customHeight="1">
      <c r="A21" s="53" t="s">
        <v>28</v>
      </c>
      <c r="B21" s="54" t="s">
        <v>84</v>
      </c>
      <c r="C21" s="55"/>
      <c r="D21" s="64" t="s">
        <v>27</v>
      </c>
      <c r="E21" s="57"/>
      <c r="F21" s="62"/>
      <c r="G21" s="58"/>
      <c r="H21" s="58"/>
      <c r="I21" s="58"/>
      <c r="J21" s="59"/>
      <c r="K21" s="43"/>
      <c r="L21" s="53" t="s">
        <v>28</v>
      </c>
      <c r="M21" s="61"/>
      <c r="N21" s="55"/>
      <c r="O21" s="66"/>
      <c r="P21" s="104"/>
      <c r="Q21" s="105"/>
      <c r="R21" s="106"/>
      <c r="S21" s="106"/>
      <c r="T21" s="106"/>
      <c r="U21" s="107"/>
    </row>
    <row r="22" ht="14.25" customHeight="1">
      <c r="A22" s="53" t="s">
        <v>30</v>
      </c>
      <c r="B22" s="54"/>
      <c r="C22" s="55"/>
      <c r="D22" s="64"/>
      <c r="E22" s="57"/>
      <c r="F22" s="62"/>
      <c r="G22" s="58"/>
      <c r="H22" s="58"/>
      <c r="I22" s="58"/>
      <c r="J22" s="59"/>
      <c r="K22" s="43"/>
      <c r="L22" s="53" t="s">
        <v>30</v>
      </c>
      <c r="M22" s="65"/>
      <c r="N22" s="108"/>
      <c r="O22" s="66"/>
      <c r="P22" s="104"/>
      <c r="Q22" s="105"/>
      <c r="R22" s="106"/>
      <c r="S22" s="106"/>
      <c r="T22" s="106"/>
      <c r="U22" s="109"/>
    </row>
    <row r="23" ht="14.25" customHeight="1">
      <c r="A23" s="53" t="s">
        <v>31</v>
      </c>
      <c r="B23" s="68"/>
      <c r="C23" s="55"/>
      <c r="D23" s="64"/>
      <c r="E23" s="57"/>
      <c r="F23" s="62"/>
      <c r="G23" s="58"/>
      <c r="H23" s="58"/>
      <c r="I23" s="58"/>
      <c r="J23" s="59"/>
      <c r="K23" s="43"/>
      <c r="L23" s="53" t="s">
        <v>31</v>
      </c>
      <c r="M23" s="69"/>
      <c r="N23" s="108"/>
      <c r="O23" s="70"/>
      <c r="P23" s="104"/>
      <c r="Q23" s="105"/>
      <c r="R23" s="106"/>
      <c r="S23" s="106"/>
      <c r="T23" s="106"/>
      <c r="U23" s="109"/>
    </row>
    <row r="24" ht="14.25" customHeight="1">
      <c r="A24" s="72" t="s">
        <v>32</v>
      </c>
      <c r="B24" s="80"/>
      <c r="C24" s="26"/>
      <c r="D24" s="74"/>
      <c r="E24" s="75"/>
      <c r="F24" s="76"/>
      <c r="G24" s="77"/>
      <c r="H24" s="77"/>
      <c r="I24" s="77"/>
      <c r="J24" s="78"/>
      <c r="K24" s="43"/>
      <c r="L24" s="72" t="s">
        <v>32</v>
      </c>
      <c r="M24" s="110"/>
      <c r="N24" s="111"/>
      <c r="O24" s="81"/>
      <c r="P24" s="112"/>
      <c r="Q24" s="113"/>
      <c r="R24" s="114"/>
      <c r="S24" s="114"/>
      <c r="T24" s="114"/>
      <c r="U24" s="115"/>
    </row>
    <row r="25" ht="14.25" customHeight="1">
      <c r="A25" s="34" t="s">
        <v>33</v>
      </c>
      <c r="B25" s="82" t="s">
        <v>34</v>
      </c>
      <c r="C25" s="82" t="s">
        <v>35</v>
      </c>
      <c r="D25" s="83" t="s">
        <v>36</v>
      </c>
      <c r="E25" s="9"/>
      <c r="F25" s="43"/>
      <c r="G25" s="43"/>
      <c r="H25" s="43"/>
      <c r="I25" s="43"/>
      <c r="J25" s="43"/>
      <c r="K25" s="43"/>
      <c r="L25" s="34" t="s">
        <v>33</v>
      </c>
      <c r="M25" s="82" t="s">
        <v>34</v>
      </c>
      <c r="N25" s="82" t="s">
        <v>35</v>
      </c>
      <c r="O25" s="83" t="s">
        <v>36</v>
      </c>
      <c r="P25" s="9"/>
      <c r="Q25" s="35"/>
      <c r="R25" s="35"/>
      <c r="S25" s="35"/>
      <c r="T25" s="35"/>
      <c r="U25" s="35"/>
    </row>
    <row r="26" ht="14.25" customHeight="1">
      <c r="A26" s="86" t="s">
        <v>37</v>
      </c>
      <c r="B26" s="87" t="s">
        <v>38</v>
      </c>
      <c r="C26" s="88" t="s">
        <v>39</v>
      </c>
      <c r="D26" s="35"/>
      <c r="E26" s="17"/>
      <c r="F26" s="43"/>
      <c r="G26" s="43"/>
      <c r="H26" s="43"/>
      <c r="I26" s="43"/>
      <c r="J26" s="43"/>
      <c r="K26" s="43"/>
      <c r="L26" s="86" t="s">
        <v>37</v>
      </c>
      <c r="M26" s="87"/>
      <c r="N26" s="88"/>
      <c r="O26" s="35"/>
      <c r="P26" s="17"/>
      <c r="Q26" s="35"/>
      <c r="R26" s="35"/>
      <c r="S26" s="35"/>
      <c r="T26" s="35"/>
      <c r="U26" s="35"/>
    </row>
    <row r="27" ht="14.25" customHeight="1">
      <c r="A27" s="89" t="s">
        <v>40</v>
      </c>
      <c r="B27" s="90"/>
      <c r="C27" s="91"/>
      <c r="D27" s="29"/>
      <c r="E27" s="31"/>
      <c r="F27" s="43"/>
      <c r="G27" s="43"/>
      <c r="H27" s="43"/>
      <c r="I27" s="43"/>
      <c r="J27" s="43"/>
      <c r="K27" s="43"/>
      <c r="L27" s="89" t="s">
        <v>40</v>
      </c>
      <c r="M27" s="89"/>
      <c r="N27" s="116"/>
      <c r="O27" s="29"/>
      <c r="P27" s="31"/>
      <c r="Q27" s="35"/>
      <c r="R27" s="35"/>
      <c r="S27" s="35"/>
      <c r="T27" s="35"/>
      <c r="U27" s="35"/>
    </row>
    <row r="28" ht="14.25" customHeight="1">
      <c r="A28" s="96"/>
      <c r="B28" s="96"/>
      <c r="C28" s="96"/>
      <c r="D28" s="117"/>
      <c r="E28" s="117"/>
      <c r="F28" s="118" t="s">
        <v>13</v>
      </c>
      <c r="G28" s="20"/>
      <c r="H28" s="20"/>
      <c r="I28" s="20"/>
      <c r="J28" s="21"/>
      <c r="K28" s="92"/>
      <c r="L28" s="96"/>
      <c r="M28" s="96"/>
      <c r="N28" s="97"/>
      <c r="O28" s="98"/>
      <c r="P28" s="98"/>
      <c r="Q28" s="34" t="s">
        <v>13</v>
      </c>
      <c r="R28" s="7"/>
      <c r="S28" s="7"/>
      <c r="T28" s="7"/>
      <c r="U28" s="9"/>
    </row>
    <row r="29" ht="14.25" customHeight="1">
      <c r="A29" s="35"/>
      <c r="B29" s="36" t="s">
        <v>14</v>
      </c>
      <c r="C29" s="119" t="s">
        <v>15</v>
      </c>
      <c r="D29" s="120" t="s">
        <v>16</v>
      </c>
      <c r="E29" s="121" t="s">
        <v>17</v>
      </c>
      <c r="F29" s="40" t="s">
        <v>18</v>
      </c>
      <c r="G29" s="41" t="s">
        <v>19</v>
      </c>
      <c r="H29" s="41" t="s">
        <v>20</v>
      </c>
      <c r="I29" s="41" t="s">
        <v>21</v>
      </c>
      <c r="J29" s="42" t="s">
        <v>22</v>
      </c>
      <c r="K29" s="43"/>
      <c r="L29" s="35"/>
      <c r="M29" s="36" t="s">
        <v>14</v>
      </c>
      <c r="N29" s="37" t="s">
        <v>15</v>
      </c>
      <c r="O29" s="38" t="s">
        <v>16</v>
      </c>
      <c r="P29" s="39" t="s">
        <v>17</v>
      </c>
      <c r="Q29" s="40" t="s">
        <v>18</v>
      </c>
      <c r="R29" s="41" t="s">
        <v>19</v>
      </c>
      <c r="S29" s="41" t="s">
        <v>20</v>
      </c>
      <c r="T29" s="41" t="s">
        <v>21</v>
      </c>
      <c r="U29" s="42" t="s">
        <v>22</v>
      </c>
    </row>
    <row r="30" ht="14.25" customHeight="1">
      <c r="A30" s="45" t="s">
        <v>23</v>
      </c>
      <c r="B30" s="52" t="s">
        <v>85</v>
      </c>
      <c r="C30" s="7"/>
      <c r="D30" s="9"/>
      <c r="E30" s="47"/>
      <c r="F30" s="100"/>
      <c r="G30" s="101"/>
      <c r="H30" s="101"/>
      <c r="I30" s="101"/>
      <c r="J30" s="102"/>
      <c r="K30" s="43"/>
      <c r="L30" s="45" t="s">
        <v>23</v>
      </c>
      <c r="M30" s="122"/>
      <c r="N30" s="7"/>
      <c r="O30" s="9"/>
      <c r="P30" s="99"/>
      <c r="Q30" s="100"/>
      <c r="R30" s="101"/>
      <c r="S30" s="101"/>
      <c r="T30" s="101"/>
      <c r="U30" s="102"/>
    </row>
    <row r="31" ht="14.25" customHeight="1">
      <c r="A31" s="53" t="s">
        <v>25</v>
      </c>
      <c r="B31" s="61" t="s">
        <v>86</v>
      </c>
      <c r="C31" s="55"/>
      <c r="D31" s="66" t="s">
        <v>27</v>
      </c>
      <c r="E31" s="57"/>
      <c r="F31" s="105"/>
      <c r="G31" s="106"/>
      <c r="H31" s="106"/>
      <c r="I31" s="106"/>
      <c r="J31" s="107"/>
      <c r="K31" s="43"/>
      <c r="L31" s="53" t="s">
        <v>25</v>
      </c>
      <c r="M31" s="131"/>
      <c r="N31" s="55"/>
      <c r="O31" s="123"/>
      <c r="P31" s="104"/>
      <c r="Q31" s="105"/>
      <c r="R31" s="106"/>
      <c r="S31" s="106"/>
      <c r="T31" s="106"/>
      <c r="U31" s="109"/>
    </row>
    <row r="32" ht="14.25" customHeight="1">
      <c r="A32" s="53" t="s">
        <v>28</v>
      </c>
      <c r="B32" s="61" t="s">
        <v>87</v>
      </c>
      <c r="C32" s="55"/>
      <c r="D32" s="66" t="s">
        <v>27</v>
      </c>
      <c r="E32" s="57"/>
      <c r="F32" s="105"/>
      <c r="G32" s="106"/>
      <c r="H32" s="106"/>
      <c r="I32" s="106"/>
      <c r="J32" s="107"/>
      <c r="K32" s="43"/>
      <c r="L32" s="53" t="s">
        <v>28</v>
      </c>
      <c r="M32" s="131"/>
      <c r="N32" s="55"/>
      <c r="O32" s="70"/>
      <c r="P32" s="104"/>
      <c r="Q32" s="105"/>
      <c r="R32" s="106"/>
      <c r="S32" s="106"/>
      <c r="T32" s="106"/>
      <c r="U32" s="109"/>
    </row>
    <row r="33" ht="14.25" customHeight="1">
      <c r="A33" s="53" t="s">
        <v>30</v>
      </c>
      <c r="B33" s="65"/>
      <c r="C33" s="12"/>
      <c r="D33" s="66"/>
      <c r="E33" s="67"/>
      <c r="F33" s="105"/>
      <c r="G33" s="106"/>
      <c r="H33" s="106"/>
      <c r="I33" s="106"/>
      <c r="J33" s="109"/>
      <c r="K33" s="43"/>
      <c r="L33" s="53" t="s">
        <v>30</v>
      </c>
      <c r="M33" s="69"/>
      <c r="N33" s="12"/>
      <c r="O33" s="70"/>
      <c r="P33" s="104"/>
      <c r="Q33" s="105"/>
      <c r="R33" s="106"/>
      <c r="S33" s="106"/>
      <c r="T33" s="106"/>
      <c r="U33" s="109"/>
    </row>
    <row r="34" ht="14.25" customHeight="1">
      <c r="A34" s="53" t="s">
        <v>31</v>
      </c>
      <c r="B34" s="65"/>
      <c r="C34" s="12"/>
      <c r="D34" s="66"/>
      <c r="E34" s="67"/>
      <c r="F34" s="105"/>
      <c r="G34" s="106"/>
      <c r="H34" s="106"/>
      <c r="I34" s="106"/>
      <c r="J34" s="109"/>
      <c r="K34" s="43"/>
      <c r="L34" s="53" t="s">
        <v>31</v>
      </c>
      <c r="M34" s="69"/>
      <c r="N34" s="12"/>
      <c r="O34" s="70"/>
      <c r="P34" s="104"/>
      <c r="Q34" s="105"/>
      <c r="R34" s="106"/>
      <c r="S34" s="106"/>
      <c r="T34" s="106"/>
      <c r="U34" s="109"/>
    </row>
    <row r="35" ht="14.25" customHeight="1">
      <c r="A35" s="72" t="s">
        <v>32</v>
      </c>
      <c r="B35" s="80"/>
      <c r="C35" s="26"/>
      <c r="D35" s="81"/>
      <c r="E35" s="75"/>
      <c r="F35" s="113"/>
      <c r="G35" s="114"/>
      <c r="H35" s="114"/>
      <c r="I35" s="114"/>
      <c r="J35" s="115"/>
      <c r="K35" s="43"/>
      <c r="L35" s="72" t="s">
        <v>32</v>
      </c>
      <c r="M35" s="80"/>
      <c r="N35" s="26"/>
      <c r="O35" s="81"/>
      <c r="P35" s="112"/>
      <c r="Q35" s="113"/>
      <c r="R35" s="114"/>
      <c r="S35" s="114"/>
      <c r="T35" s="114"/>
      <c r="U35" s="115"/>
    </row>
    <row r="36" ht="14.25" customHeight="1">
      <c r="A36" s="34" t="s">
        <v>33</v>
      </c>
      <c r="B36" s="82" t="s">
        <v>34</v>
      </c>
      <c r="C36" s="82" t="s">
        <v>35</v>
      </c>
      <c r="D36" s="83" t="s">
        <v>36</v>
      </c>
      <c r="E36" s="9"/>
      <c r="F36" s="35"/>
      <c r="G36" s="35"/>
      <c r="H36" s="35"/>
      <c r="I36" s="35"/>
      <c r="J36" s="35"/>
      <c r="K36" s="43"/>
      <c r="L36" s="34" t="s">
        <v>33</v>
      </c>
      <c r="M36" s="82" t="s">
        <v>34</v>
      </c>
      <c r="N36" s="82" t="s">
        <v>35</v>
      </c>
      <c r="O36" s="83" t="s">
        <v>36</v>
      </c>
      <c r="P36" s="9"/>
      <c r="Q36" s="35"/>
      <c r="R36" s="35"/>
      <c r="S36" s="35"/>
      <c r="T36" s="35"/>
      <c r="U36" s="35"/>
    </row>
    <row r="37" ht="14.25" customHeight="1">
      <c r="A37" s="86" t="s">
        <v>37</v>
      </c>
      <c r="B37" s="87" t="s">
        <v>38</v>
      </c>
      <c r="C37" s="88" t="s">
        <v>39</v>
      </c>
      <c r="D37" s="35"/>
      <c r="E37" s="17"/>
      <c r="F37" s="35"/>
      <c r="G37" s="35"/>
      <c r="H37" s="35"/>
      <c r="I37" s="35"/>
      <c r="J37" s="35"/>
      <c r="K37" s="43"/>
      <c r="L37" s="86" t="s">
        <v>37</v>
      </c>
      <c r="M37" s="87"/>
      <c r="N37" s="88"/>
      <c r="O37" s="35"/>
      <c r="P37" s="17"/>
      <c r="Q37" s="35"/>
      <c r="R37" s="35"/>
      <c r="S37" s="35"/>
      <c r="T37" s="35"/>
      <c r="U37" s="35"/>
    </row>
    <row r="38" ht="14.25" customHeight="1">
      <c r="A38" s="89" t="s">
        <v>40</v>
      </c>
      <c r="B38" s="90"/>
      <c r="C38" s="91"/>
      <c r="D38" s="29"/>
      <c r="E38" s="31"/>
      <c r="F38" s="35"/>
      <c r="G38" s="35"/>
      <c r="H38" s="35"/>
      <c r="I38" s="35"/>
      <c r="J38" s="35"/>
      <c r="K38" s="43"/>
      <c r="L38" s="89" t="s">
        <v>40</v>
      </c>
      <c r="M38" s="89"/>
      <c r="N38" s="116"/>
      <c r="O38" s="29"/>
      <c r="P38" s="31"/>
      <c r="Q38" s="35"/>
      <c r="R38" s="35"/>
      <c r="S38" s="35"/>
      <c r="T38" s="35"/>
      <c r="U38" s="35"/>
    </row>
    <row r="39" ht="28.5" customHeight="1">
      <c r="A39" s="124"/>
    </row>
    <row r="40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</row>
    <row r="4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</row>
    <row r="50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</row>
    <row r="51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  <row r="58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</row>
    <row r="5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</row>
    <row r="60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</row>
    <row r="61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</row>
    <row r="6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6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</row>
    <row r="70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</row>
    <row r="74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</row>
    <row r="75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</row>
    <row r="76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</row>
    <row r="77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</row>
    <row r="78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</row>
    <row r="7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</row>
    <row r="80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ht="14.2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</sheetData>
  <mergeCells count="77">
    <mergeCell ref="M19:O19"/>
    <mergeCell ref="M20:N20"/>
    <mergeCell ref="N5:O5"/>
    <mergeCell ref="M8:O8"/>
    <mergeCell ref="M9:N9"/>
    <mergeCell ref="M10:N10"/>
    <mergeCell ref="M11:N11"/>
    <mergeCell ref="M12:N12"/>
    <mergeCell ref="M13:N13"/>
    <mergeCell ref="B19:D19"/>
    <mergeCell ref="B20:C20"/>
    <mergeCell ref="B21:C21"/>
    <mergeCell ref="M21:N21"/>
    <mergeCell ref="B22:C22"/>
    <mergeCell ref="M22:N22"/>
    <mergeCell ref="M23:N23"/>
    <mergeCell ref="B23:C23"/>
    <mergeCell ref="B24:C24"/>
    <mergeCell ref="D25:E25"/>
    <mergeCell ref="D26:E27"/>
    <mergeCell ref="O26:P27"/>
    <mergeCell ref="F28:J28"/>
    <mergeCell ref="Q28:U28"/>
    <mergeCell ref="B33:C33"/>
    <mergeCell ref="B34:C34"/>
    <mergeCell ref="B35:C35"/>
    <mergeCell ref="D36:E36"/>
    <mergeCell ref="D37:E38"/>
    <mergeCell ref="M34:N34"/>
    <mergeCell ref="M35:N35"/>
    <mergeCell ref="O36:P36"/>
    <mergeCell ref="O37:P38"/>
    <mergeCell ref="A39:U39"/>
    <mergeCell ref="B30:D30"/>
    <mergeCell ref="M30:O30"/>
    <mergeCell ref="B31:C31"/>
    <mergeCell ref="M31:N31"/>
    <mergeCell ref="B32:C32"/>
    <mergeCell ref="M32:N32"/>
    <mergeCell ref="M33:N33"/>
    <mergeCell ref="A1:U1"/>
    <mergeCell ref="A2:B2"/>
    <mergeCell ref="C2:E2"/>
    <mergeCell ref="F2:J2"/>
    <mergeCell ref="K2:M2"/>
    <mergeCell ref="N2:U2"/>
    <mergeCell ref="A3:B3"/>
    <mergeCell ref="N3:T3"/>
    <mergeCell ref="C3:E3"/>
    <mergeCell ref="F3:M3"/>
    <mergeCell ref="C4:E4"/>
    <mergeCell ref="F4:J4"/>
    <mergeCell ref="K4:M4"/>
    <mergeCell ref="N4:O4"/>
    <mergeCell ref="R4:T4"/>
    <mergeCell ref="R5:T5"/>
    <mergeCell ref="Q6:U6"/>
    <mergeCell ref="A4:B4"/>
    <mergeCell ref="A5:B5"/>
    <mergeCell ref="C5:E5"/>
    <mergeCell ref="F5:J5"/>
    <mergeCell ref="K5:M5"/>
    <mergeCell ref="F6:J6"/>
    <mergeCell ref="B8:D8"/>
    <mergeCell ref="O14:P14"/>
    <mergeCell ref="O15:P16"/>
    <mergeCell ref="F17:J17"/>
    <mergeCell ref="Q17:U17"/>
    <mergeCell ref="B9:C9"/>
    <mergeCell ref="B10:C10"/>
    <mergeCell ref="B11:C11"/>
    <mergeCell ref="B12:C12"/>
    <mergeCell ref="B13:C13"/>
    <mergeCell ref="D14:E14"/>
    <mergeCell ref="D15:E16"/>
    <mergeCell ref="M24:N24"/>
    <mergeCell ref="O25:P25"/>
  </mergeCells>
  <dataValidations>
    <dataValidation type="list" allowBlank="1" sqref="B8 B19 B30">
      <formula1>MEMBRES!$K$2:$K$368</formula1>
    </dataValidation>
    <dataValidation type="list" allowBlank="1" sqref="D9:D13 O9:O13 D20:D24 O20:O24 D31:D35 O31:O35">
      <formula1>'Feuille 4'!$A$1:$A$26</formula1>
    </dataValidation>
    <dataValidation type="list" allowBlank="1" sqref="C3:C5 B9:B13 M8:M13 B20:B24 M19:M24 B31:B35 M30:M35">
      <formula1>MEMBRES!$K$2:$K$337</formula1>
    </dataValidation>
  </dataValidations>
  <printOptions horizontalCentered="1" verticalCentered="1"/>
  <pageMargins bottom="0.0" footer="0.0" header="0.0" left="0.39370078740157477" right="0.0" top="0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57"/>
    <col customWidth="1" min="3" max="3" width="14.86"/>
    <col customWidth="1" min="4" max="4" width="10.71"/>
    <col customWidth="1" min="5" max="5" width="6.71"/>
    <col customWidth="1" min="6" max="10" width="4.57"/>
    <col customWidth="1" min="11" max="11" width="0.43"/>
    <col customWidth="1" min="12" max="12" width="8.57"/>
    <col customWidth="1" min="13" max="13" width="12.57"/>
    <col customWidth="1" min="14" max="14" width="12.71"/>
    <col customWidth="1" min="15" max="15" width="9.71"/>
    <col customWidth="1" min="16" max="21" width="4.57"/>
  </cols>
  <sheetData>
    <row r="1" ht="14.25" customHeight="1">
      <c r="A1" s="1" t="s">
        <v>0</v>
      </c>
    </row>
    <row r="2" ht="17.25" customHeight="1">
      <c r="A2" s="2" t="s">
        <v>1</v>
      </c>
      <c r="B2" s="3"/>
      <c r="C2" s="4"/>
      <c r="D2" s="5"/>
      <c r="E2" s="3"/>
      <c r="F2" s="6" t="s">
        <v>3</v>
      </c>
      <c r="G2" s="7"/>
      <c r="H2" s="7"/>
      <c r="I2" s="7"/>
      <c r="J2" s="7"/>
      <c r="K2" s="132"/>
      <c r="L2" s="7"/>
      <c r="M2" s="9"/>
      <c r="N2" s="10" t="s">
        <v>4</v>
      </c>
    </row>
    <row r="3" ht="14.25" customHeight="1">
      <c r="A3" s="11" t="s">
        <v>5</v>
      </c>
      <c r="B3" s="12"/>
      <c r="C3" s="13"/>
      <c r="D3" s="14"/>
      <c r="E3" s="15"/>
      <c r="F3" s="16" t="s">
        <v>88</v>
      </c>
      <c r="M3" s="17"/>
      <c r="N3" s="10" t="s">
        <v>8</v>
      </c>
      <c r="U3" s="18"/>
    </row>
    <row r="4" ht="14.25" customHeight="1">
      <c r="A4" s="11" t="s">
        <v>9</v>
      </c>
      <c r="B4" s="12"/>
      <c r="C4" s="19"/>
      <c r="D4" s="20"/>
      <c r="E4" s="21"/>
      <c r="F4" s="6" t="s">
        <v>10</v>
      </c>
      <c r="G4" s="7"/>
      <c r="H4" s="7"/>
      <c r="I4" s="7"/>
      <c r="J4" s="7"/>
      <c r="K4" s="22"/>
      <c r="L4" s="7"/>
      <c r="M4" s="9"/>
      <c r="N4" s="23"/>
      <c r="P4" s="24"/>
      <c r="Q4" s="24"/>
      <c r="R4" s="23"/>
      <c r="U4" s="24"/>
    </row>
    <row r="5" ht="14.25" customHeight="1">
      <c r="A5" s="25" t="s">
        <v>11</v>
      </c>
      <c r="B5" s="26"/>
      <c r="C5" s="27"/>
      <c r="D5" s="7"/>
      <c r="E5" s="9"/>
      <c r="F5" s="28" t="s">
        <v>12</v>
      </c>
      <c r="G5" s="29"/>
      <c r="H5" s="29"/>
      <c r="I5" s="29"/>
      <c r="J5" s="29"/>
      <c r="K5" s="30"/>
      <c r="L5" s="29"/>
      <c r="M5" s="31"/>
      <c r="N5" s="23"/>
      <c r="P5" s="24"/>
      <c r="Q5" s="24"/>
      <c r="R5" s="23"/>
      <c r="U5" s="24"/>
    </row>
    <row r="6" ht="14.25" customHeight="1">
      <c r="A6" s="32"/>
      <c r="B6" s="32"/>
      <c r="C6" s="32"/>
      <c r="D6" s="32"/>
      <c r="E6" s="32"/>
      <c r="F6" s="33" t="s">
        <v>13</v>
      </c>
      <c r="J6" s="17"/>
      <c r="K6" s="32"/>
      <c r="L6" s="32"/>
      <c r="M6" s="32"/>
      <c r="N6" s="32"/>
      <c r="O6" s="32"/>
      <c r="P6" s="32"/>
      <c r="Q6" s="34" t="s">
        <v>13</v>
      </c>
      <c r="R6" s="7"/>
      <c r="S6" s="7"/>
      <c r="T6" s="7"/>
      <c r="U6" s="9"/>
    </row>
    <row r="7" ht="14.25" customHeight="1">
      <c r="A7" s="35"/>
      <c r="B7" s="36" t="s">
        <v>14</v>
      </c>
      <c r="C7" s="44" t="s">
        <v>15</v>
      </c>
      <c r="D7" s="120" t="s">
        <v>16</v>
      </c>
      <c r="E7" s="39" t="s">
        <v>17</v>
      </c>
      <c r="F7" s="40" t="s">
        <v>18</v>
      </c>
      <c r="G7" s="41" t="s">
        <v>19</v>
      </c>
      <c r="H7" s="41" t="s">
        <v>20</v>
      </c>
      <c r="I7" s="41" t="s">
        <v>21</v>
      </c>
      <c r="J7" s="42" t="s">
        <v>22</v>
      </c>
      <c r="K7" s="32"/>
      <c r="L7" s="43"/>
      <c r="M7" s="36" t="s">
        <v>14</v>
      </c>
      <c r="N7" s="44" t="s">
        <v>15</v>
      </c>
      <c r="O7" s="38" t="s">
        <v>16</v>
      </c>
      <c r="P7" s="39" t="s">
        <v>17</v>
      </c>
      <c r="Q7" s="40" t="s">
        <v>18</v>
      </c>
      <c r="R7" s="41" t="s">
        <v>19</v>
      </c>
      <c r="S7" s="41" t="s">
        <v>20</v>
      </c>
      <c r="T7" s="41" t="s">
        <v>21</v>
      </c>
      <c r="U7" s="42" t="s">
        <v>22</v>
      </c>
    </row>
    <row r="8" ht="14.25" customHeight="1">
      <c r="A8" s="51" t="s">
        <v>23</v>
      </c>
      <c r="B8" s="46"/>
      <c r="C8" s="7"/>
      <c r="D8" s="9"/>
      <c r="E8" s="47"/>
      <c r="F8" s="48"/>
      <c r="G8" s="49"/>
      <c r="H8" s="49"/>
      <c r="I8" s="49"/>
      <c r="J8" s="50"/>
      <c r="K8" s="43"/>
      <c r="L8" s="51" t="s">
        <v>23</v>
      </c>
      <c r="M8" s="52"/>
      <c r="N8" s="7"/>
      <c r="O8" s="9"/>
      <c r="P8" s="47"/>
      <c r="Q8" s="48"/>
      <c r="R8" s="49"/>
      <c r="S8" s="49"/>
      <c r="T8" s="49"/>
      <c r="U8" s="50"/>
    </row>
    <row r="9" ht="14.25" customHeight="1">
      <c r="A9" s="53" t="s">
        <v>25</v>
      </c>
      <c r="B9" s="68"/>
      <c r="C9" s="55"/>
      <c r="D9" s="64"/>
      <c r="E9" s="57"/>
      <c r="F9" s="48"/>
      <c r="G9" s="49"/>
      <c r="H9" s="58"/>
      <c r="I9" s="58"/>
      <c r="J9" s="59"/>
      <c r="K9" s="43"/>
      <c r="L9" s="60" t="s">
        <v>25</v>
      </c>
      <c r="M9" s="61"/>
      <c r="N9" s="55"/>
      <c r="O9" s="56"/>
      <c r="P9" s="57"/>
      <c r="Q9" s="62"/>
      <c r="R9" s="58"/>
      <c r="S9" s="58"/>
      <c r="T9" s="63"/>
      <c r="U9" s="59"/>
    </row>
    <row r="10" ht="14.25" customHeight="1">
      <c r="A10" s="53" t="s">
        <v>28</v>
      </c>
      <c r="B10" s="68"/>
      <c r="C10" s="55"/>
      <c r="D10" s="64"/>
      <c r="E10" s="57"/>
      <c r="F10" s="48"/>
      <c r="G10" s="49"/>
      <c r="H10" s="58"/>
      <c r="I10" s="58"/>
      <c r="J10" s="59"/>
      <c r="K10" s="43"/>
      <c r="L10" s="60" t="s">
        <v>28</v>
      </c>
      <c r="M10" s="65"/>
      <c r="N10" s="12"/>
      <c r="O10" s="66"/>
      <c r="P10" s="67"/>
      <c r="Q10" s="62"/>
      <c r="R10" s="58"/>
      <c r="S10" s="58"/>
      <c r="T10" s="58"/>
      <c r="U10" s="59"/>
    </row>
    <row r="11" ht="14.25" customHeight="1">
      <c r="A11" s="53" t="s">
        <v>30</v>
      </c>
      <c r="B11" s="68"/>
      <c r="C11" s="55"/>
      <c r="D11" s="64"/>
      <c r="E11" s="67"/>
      <c r="F11" s="48"/>
      <c r="G11" s="49"/>
      <c r="H11" s="58"/>
      <c r="I11" s="58"/>
      <c r="J11" s="59"/>
      <c r="K11" s="43"/>
      <c r="L11" s="60" t="s">
        <v>30</v>
      </c>
      <c r="M11" s="65"/>
      <c r="N11" s="12"/>
      <c r="O11" s="66"/>
      <c r="P11" s="67"/>
      <c r="Q11" s="62"/>
      <c r="R11" s="58"/>
      <c r="S11" s="58"/>
      <c r="T11" s="58"/>
      <c r="U11" s="59"/>
    </row>
    <row r="12" ht="14.25" customHeight="1">
      <c r="A12" s="53" t="s">
        <v>31</v>
      </c>
      <c r="B12" s="68"/>
      <c r="C12" s="55"/>
      <c r="D12" s="64"/>
      <c r="E12" s="67"/>
      <c r="F12" s="48"/>
      <c r="G12" s="49"/>
      <c r="H12" s="58"/>
      <c r="I12" s="58"/>
      <c r="J12" s="59"/>
      <c r="K12" s="43"/>
      <c r="L12" s="60" t="s">
        <v>31</v>
      </c>
      <c r="M12" s="69"/>
      <c r="N12" s="12"/>
      <c r="O12" s="70"/>
      <c r="P12" s="67"/>
      <c r="Q12" s="62"/>
      <c r="R12" s="58"/>
      <c r="S12" s="58"/>
      <c r="T12" s="58"/>
      <c r="U12" s="71"/>
    </row>
    <row r="13" ht="14.25" customHeight="1">
      <c r="A13" s="72" t="s">
        <v>32</v>
      </c>
      <c r="B13" s="73"/>
      <c r="C13" s="26"/>
      <c r="D13" s="74"/>
      <c r="E13" s="75"/>
      <c r="F13" s="76"/>
      <c r="G13" s="77"/>
      <c r="H13" s="77"/>
      <c r="I13" s="77"/>
      <c r="J13" s="78"/>
      <c r="K13" s="43"/>
      <c r="L13" s="79" t="s">
        <v>32</v>
      </c>
      <c r="M13" s="80"/>
      <c r="N13" s="26"/>
      <c r="O13" s="81"/>
      <c r="P13" s="75"/>
      <c r="Q13" s="76"/>
      <c r="R13" s="77"/>
      <c r="S13" s="77"/>
      <c r="T13" s="77"/>
      <c r="U13" s="78"/>
    </row>
    <row r="14" ht="14.25" customHeight="1">
      <c r="A14" s="34" t="s">
        <v>33</v>
      </c>
      <c r="B14" s="82" t="s">
        <v>34</v>
      </c>
      <c r="C14" s="82" t="s">
        <v>35</v>
      </c>
      <c r="D14" s="83" t="s">
        <v>36</v>
      </c>
      <c r="E14" s="9"/>
      <c r="F14" s="43"/>
      <c r="G14" s="43"/>
      <c r="H14" s="43"/>
      <c r="I14" s="43"/>
      <c r="J14" s="43"/>
      <c r="K14" s="43"/>
      <c r="L14" s="34" t="s">
        <v>33</v>
      </c>
      <c r="M14" s="84" t="s">
        <v>34</v>
      </c>
      <c r="N14" s="84" t="s">
        <v>35</v>
      </c>
      <c r="O14" s="85" t="s">
        <v>36</v>
      </c>
      <c r="P14" s="31"/>
      <c r="Q14" s="43"/>
      <c r="R14" s="43"/>
      <c r="S14" s="43"/>
      <c r="T14" s="43"/>
      <c r="U14" s="43"/>
    </row>
    <row r="15" ht="14.25" customHeight="1">
      <c r="A15" s="86" t="s">
        <v>37</v>
      </c>
      <c r="B15" s="87"/>
      <c r="C15" s="88"/>
      <c r="D15" s="35"/>
      <c r="E15" s="17"/>
      <c r="F15" s="43"/>
      <c r="G15" s="43"/>
      <c r="H15" s="43"/>
      <c r="I15" s="43"/>
      <c r="J15" s="43"/>
      <c r="K15" s="43"/>
      <c r="L15" s="86" t="s">
        <v>37</v>
      </c>
      <c r="M15" s="87"/>
      <c r="N15" s="88"/>
      <c r="O15" s="35"/>
      <c r="P15" s="17"/>
      <c r="Q15" s="43"/>
      <c r="R15" s="43"/>
      <c r="S15" s="43"/>
      <c r="T15" s="43"/>
      <c r="U15" s="43"/>
    </row>
    <row r="16" ht="14.25" customHeight="1">
      <c r="A16" s="89" t="s">
        <v>40</v>
      </c>
      <c r="B16" s="90"/>
      <c r="C16" s="91"/>
      <c r="D16" s="29"/>
      <c r="E16" s="31"/>
      <c r="F16" s="43"/>
      <c r="G16" s="43"/>
      <c r="H16" s="43"/>
      <c r="I16" s="43"/>
      <c r="J16" s="43"/>
      <c r="K16" s="43"/>
      <c r="L16" s="89" t="s">
        <v>40</v>
      </c>
      <c r="M16" s="90"/>
      <c r="N16" s="91"/>
      <c r="O16" s="29"/>
      <c r="P16" s="31"/>
      <c r="Q16" s="43"/>
      <c r="R16" s="43"/>
      <c r="S16" s="43"/>
      <c r="T16" s="43"/>
      <c r="U16" s="43"/>
    </row>
    <row r="17" ht="14.25" customHeight="1">
      <c r="A17" s="92"/>
      <c r="B17" s="92"/>
      <c r="C17" s="93"/>
      <c r="D17" s="94"/>
      <c r="E17" s="94"/>
      <c r="F17" s="34" t="s">
        <v>13</v>
      </c>
      <c r="G17" s="7"/>
      <c r="H17" s="7"/>
      <c r="I17" s="7"/>
      <c r="J17" s="9"/>
      <c r="K17" s="95"/>
      <c r="L17" s="96"/>
      <c r="M17" s="96"/>
      <c r="N17" s="97"/>
      <c r="O17" s="98"/>
      <c r="P17" s="98"/>
      <c r="Q17" s="34" t="s">
        <v>13</v>
      </c>
      <c r="R17" s="7"/>
      <c r="S17" s="7"/>
      <c r="T17" s="7"/>
      <c r="U17" s="9"/>
    </row>
    <row r="18" ht="14.25" customHeight="1">
      <c r="A18" s="43"/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1" t="s">
        <v>19</v>
      </c>
      <c r="H18" s="41" t="s">
        <v>20</v>
      </c>
      <c r="I18" s="41" t="s">
        <v>21</v>
      </c>
      <c r="J18" s="42" t="s">
        <v>22</v>
      </c>
      <c r="K18" s="43"/>
      <c r="L18" s="35"/>
      <c r="M18" s="36" t="s">
        <v>14</v>
      </c>
      <c r="N18" s="37" t="s">
        <v>15</v>
      </c>
      <c r="O18" s="38" t="s">
        <v>16</v>
      </c>
      <c r="P18" s="39" t="s">
        <v>17</v>
      </c>
      <c r="Q18" s="40" t="s">
        <v>18</v>
      </c>
      <c r="R18" s="41" t="s">
        <v>19</v>
      </c>
      <c r="S18" s="41" t="s">
        <v>20</v>
      </c>
      <c r="T18" s="41" t="s">
        <v>21</v>
      </c>
      <c r="U18" s="42" t="s">
        <v>22</v>
      </c>
    </row>
    <row r="19" ht="14.25" customHeight="1">
      <c r="A19" s="45" t="s">
        <v>23</v>
      </c>
      <c r="B19" s="46"/>
      <c r="C19" s="7"/>
      <c r="D19" s="9"/>
      <c r="E19" s="47"/>
      <c r="F19" s="48"/>
      <c r="G19" s="49"/>
      <c r="H19" s="49"/>
      <c r="I19" s="49"/>
      <c r="J19" s="50"/>
      <c r="K19" s="43"/>
      <c r="L19" s="45" t="s">
        <v>23</v>
      </c>
      <c r="M19" s="52"/>
      <c r="N19" s="7"/>
      <c r="O19" s="9"/>
      <c r="P19" s="99"/>
      <c r="Q19" s="100"/>
      <c r="R19" s="101"/>
      <c r="S19" s="101"/>
      <c r="T19" s="101"/>
      <c r="U19" s="102"/>
    </row>
    <row r="20" ht="14.25" customHeight="1">
      <c r="A20" s="53" t="s">
        <v>25</v>
      </c>
      <c r="B20" s="68"/>
      <c r="C20" s="55"/>
      <c r="D20" s="64"/>
      <c r="E20" s="57"/>
      <c r="F20" s="62"/>
      <c r="G20" s="58"/>
      <c r="H20" s="58"/>
      <c r="I20" s="58"/>
      <c r="J20" s="59"/>
      <c r="K20" s="43"/>
      <c r="L20" s="53" t="s">
        <v>25</v>
      </c>
      <c r="M20" s="61"/>
      <c r="N20" s="103"/>
      <c r="O20" s="56"/>
      <c r="P20" s="104"/>
      <c r="Q20" s="105"/>
      <c r="R20" s="106"/>
      <c r="S20" s="106"/>
      <c r="T20" s="106"/>
      <c r="U20" s="107"/>
    </row>
    <row r="21" ht="14.25" customHeight="1">
      <c r="A21" s="53" t="s">
        <v>28</v>
      </c>
      <c r="B21" s="68"/>
      <c r="C21" s="55"/>
      <c r="D21" s="64"/>
      <c r="E21" s="57"/>
      <c r="F21" s="62"/>
      <c r="G21" s="58"/>
      <c r="H21" s="58"/>
      <c r="I21" s="58"/>
      <c r="J21" s="59"/>
      <c r="K21" s="43"/>
      <c r="L21" s="53" t="s">
        <v>28</v>
      </c>
      <c r="M21" s="61"/>
      <c r="N21" s="55"/>
      <c r="O21" s="66"/>
      <c r="P21" s="104"/>
      <c r="Q21" s="105"/>
      <c r="R21" s="106"/>
      <c r="S21" s="106"/>
      <c r="T21" s="106"/>
      <c r="U21" s="107"/>
    </row>
    <row r="22" ht="14.25" customHeight="1">
      <c r="A22" s="53" t="s">
        <v>30</v>
      </c>
      <c r="B22" s="68"/>
      <c r="C22" s="55"/>
      <c r="D22" s="64"/>
      <c r="E22" s="67"/>
      <c r="F22" s="62"/>
      <c r="G22" s="58"/>
      <c r="H22" s="58"/>
      <c r="I22" s="58"/>
      <c r="J22" s="59"/>
      <c r="K22" s="43"/>
      <c r="L22" s="53" t="s">
        <v>30</v>
      </c>
      <c r="M22" s="65"/>
      <c r="N22" s="108"/>
      <c r="O22" s="66"/>
      <c r="P22" s="104"/>
      <c r="Q22" s="105"/>
      <c r="R22" s="106"/>
      <c r="S22" s="106"/>
      <c r="T22" s="106"/>
      <c r="U22" s="109"/>
    </row>
    <row r="23" ht="14.25" customHeight="1">
      <c r="A23" s="53" t="s">
        <v>31</v>
      </c>
      <c r="B23" s="65"/>
      <c r="C23" s="12"/>
      <c r="D23" s="64"/>
      <c r="E23" s="67"/>
      <c r="F23" s="62"/>
      <c r="G23" s="58"/>
      <c r="H23" s="58"/>
      <c r="I23" s="58"/>
      <c r="J23" s="59"/>
      <c r="K23" s="43"/>
      <c r="L23" s="53" t="s">
        <v>31</v>
      </c>
      <c r="M23" s="69"/>
      <c r="N23" s="108"/>
      <c r="O23" s="70"/>
      <c r="P23" s="104"/>
      <c r="Q23" s="105"/>
      <c r="R23" s="106"/>
      <c r="S23" s="106"/>
      <c r="T23" s="106"/>
      <c r="U23" s="109"/>
    </row>
    <row r="24" ht="14.25" customHeight="1">
      <c r="A24" s="72" t="s">
        <v>32</v>
      </c>
      <c r="B24" s="80"/>
      <c r="C24" s="26"/>
      <c r="D24" s="81"/>
      <c r="E24" s="75"/>
      <c r="F24" s="76"/>
      <c r="G24" s="77"/>
      <c r="H24" s="77"/>
      <c r="I24" s="77"/>
      <c r="J24" s="78"/>
      <c r="K24" s="43"/>
      <c r="L24" s="72" t="s">
        <v>32</v>
      </c>
      <c r="M24" s="110"/>
      <c r="N24" s="111"/>
      <c r="O24" s="81"/>
      <c r="P24" s="112"/>
      <c r="Q24" s="113"/>
      <c r="R24" s="114"/>
      <c r="S24" s="114"/>
      <c r="T24" s="114"/>
      <c r="U24" s="115"/>
    </row>
    <row r="25" ht="14.25" customHeight="1">
      <c r="A25" s="34" t="s">
        <v>33</v>
      </c>
      <c r="B25" s="82" t="s">
        <v>34</v>
      </c>
      <c r="C25" s="82" t="s">
        <v>35</v>
      </c>
      <c r="D25" s="83" t="s">
        <v>36</v>
      </c>
      <c r="E25" s="9"/>
      <c r="F25" s="43"/>
      <c r="G25" s="43"/>
      <c r="H25" s="43"/>
      <c r="I25" s="43"/>
      <c r="J25" s="43"/>
      <c r="K25" s="43"/>
      <c r="L25" s="34" t="s">
        <v>33</v>
      </c>
      <c r="M25" s="82" t="s">
        <v>34</v>
      </c>
      <c r="N25" s="82" t="s">
        <v>35</v>
      </c>
      <c r="O25" s="83" t="s">
        <v>36</v>
      </c>
      <c r="P25" s="9"/>
      <c r="Q25" s="35"/>
      <c r="R25" s="35"/>
      <c r="S25" s="35"/>
      <c r="T25" s="35"/>
      <c r="U25" s="35"/>
    </row>
    <row r="26" ht="14.25" customHeight="1">
      <c r="A26" s="86" t="s">
        <v>37</v>
      </c>
      <c r="B26" s="87"/>
      <c r="C26" s="88"/>
      <c r="D26" s="35"/>
      <c r="E26" s="17"/>
      <c r="F26" s="43"/>
      <c r="G26" s="43"/>
      <c r="H26" s="43"/>
      <c r="I26" s="43"/>
      <c r="J26" s="43"/>
      <c r="K26" s="43"/>
      <c r="L26" s="86" t="s">
        <v>37</v>
      </c>
      <c r="M26" s="87"/>
      <c r="N26" s="88"/>
      <c r="O26" s="35"/>
      <c r="P26" s="17"/>
      <c r="Q26" s="35"/>
      <c r="R26" s="35"/>
      <c r="S26" s="35"/>
      <c r="T26" s="35"/>
      <c r="U26" s="35"/>
    </row>
    <row r="27" ht="14.25" customHeight="1">
      <c r="A27" s="89" t="s">
        <v>40</v>
      </c>
      <c r="B27" s="90"/>
      <c r="C27" s="91"/>
      <c r="D27" s="29"/>
      <c r="E27" s="31"/>
      <c r="F27" s="43"/>
      <c r="G27" s="43"/>
      <c r="H27" s="43"/>
      <c r="I27" s="43"/>
      <c r="J27" s="43"/>
      <c r="K27" s="43"/>
      <c r="L27" s="89" t="s">
        <v>40</v>
      </c>
      <c r="M27" s="89"/>
      <c r="N27" s="116"/>
      <c r="O27" s="29"/>
      <c r="P27" s="31"/>
      <c r="Q27" s="35"/>
      <c r="R27" s="35"/>
      <c r="S27" s="35"/>
      <c r="T27" s="35"/>
      <c r="U27" s="35"/>
    </row>
    <row r="28" ht="14.25" customHeight="1">
      <c r="A28" s="96"/>
      <c r="B28" s="96"/>
      <c r="C28" s="96"/>
      <c r="D28" s="117"/>
      <c r="E28" s="117"/>
      <c r="F28" s="118" t="s">
        <v>13</v>
      </c>
      <c r="G28" s="20"/>
      <c r="H28" s="20"/>
      <c r="I28" s="20"/>
      <c r="J28" s="21"/>
      <c r="K28" s="92"/>
      <c r="L28" s="96"/>
      <c r="M28" s="96"/>
      <c r="N28" s="97"/>
      <c r="O28" s="98"/>
      <c r="P28" s="98"/>
      <c r="Q28" s="34" t="s">
        <v>13</v>
      </c>
      <c r="R28" s="7"/>
      <c r="S28" s="7"/>
      <c r="T28" s="7"/>
      <c r="U28" s="9"/>
    </row>
    <row r="29" ht="14.25" customHeight="1">
      <c r="A29" s="35"/>
      <c r="B29" s="36" t="s">
        <v>14</v>
      </c>
      <c r="C29" s="119" t="s">
        <v>15</v>
      </c>
      <c r="D29" s="120" t="s">
        <v>16</v>
      </c>
      <c r="E29" s="121" t="s">
        <v>17</v>
      </c>
      <c r="F29" s="40" t="s">
        <v>18</v>
      </c>
      <c r="G29" s="41" t="s">
        <v>19</v>
      </c>
      <c r="H29" s="41" t="s">
        <v>20</v>
      </c>
      <c r="I29" s="41" t="s">
        <v>21</v>
      </c>
      <c r="J29" s="42" t="s">
        <v>22</v>
      </c>
      <c r="K29" s="43"/>
      <c r="L29" s="35"/>
      <c r="M29" s="36" t="s">
        <v>14</v>
      </c>
      <c r="N29" s="37" t="s">
        <v>15</v>
      </c>
      <c r="O29" s="38" t="s">
        <v>16</v>
      </c>
      <c r="P29" s="39" t="s">
        <v>17</v>
      </c>
      <c r="Q29" s="40" t="s">
        <v>18</v>
      </c>
      <c r="R29" s="41" t="s">
        <v>19</v>
      </c>
      <c r="S29" s="41" t="s">
        <v>20</v>
      </c>
      <c r="T29" s="41" t="s">
        <v>21</v>
      </c>
      <c r="U29" s="42" t="s">
        <v>22</v>
      </c>
    </row>
    <row r="30" ht="14.25" customHeight="1">
      <c r="A30" s="45" t="s">
        <v>23</v>
      </c>
      <c r="B30" s="52"/>
      <c r="C30" s="7"/>
      <c r="D30" s="9"/>
      <c r="E30" s="47"/>
      <c r="F30" s="100"/>
      <c r="G30" s="101"/>
      <c r="H30" s="101"/>
      <c r="I30" s="101"/>
      <c r="J30" s="102"/>
      <c r="K30" s="43"/>
      <c r="L30" s="45" t="s">
        <v>23</v>
      </c>
      <c r="M30" s="122"/>
      <c r="N30" s="7"/>
      <c r="O30" s="9"/>
      <c r="P30" s="99"/>
      <c r="Q30" s="100"/>
      <c r="R30" s="101"/>
      <c r="S30" s="101"/>
      <c r="T30" s="101"/>
      <c r="U30" s="102"/>
    </row>
    <row r="31" ht="14.25" customHeight="1">
      <c r="A31" s="53" t="s">
        <v>25</v>
      </c>
      <c r="B31" s="61"/>
      <c r="C31" s="55"/>
      <c r="D31" s="66"/>
      <c r="E31" s="57"/>
      <c r="F31" s="105"/>
      <c r="G31" s="106"/>
      <c r="H31" s="106"/>
      <c r="I31" s="106"/>
      <c r="J31" s="107"/>
      <c r="K31" s="43"/>
      <c r="L31" s="53" t="s">
        <v>25</v>
      </c>
      <c r="M31" s="131"/>
      <c r="N31" s="55"/>
      <c r="O31" s="123"/>
      <c r="P31" s="104"/>
      <c r="Q31" s="105"/>
      <c r="R31" s="106"/>
      <c r="S31" s="106"/>
      <c r="T31" s="106"/>
      <c r="U31" s="109"/>
    </row>
    <row r="32" ht="14.25" customHeight="1">
      <c r="A32" s="53" t="s">
        <v>28</v>
      </c>
      <c r="B32" s="61"/>
      <c r="C32" s="55"/>
      <c r="D32" s="66"/>
      <c r="E32" s="57"/>
      <c r="F32" s="105"/>
      <c r="G32" s="106"/>
      <c r="H32" s="106"/>
      <c r="I32" s="106"/>
      <c r="J32" s="107"/>
      <c r="K32" s="43"/>
      <c r="L32" s="53" t="s">
        <v>28</v>
      </c>
      <c r="M32" s="131"/>
      <c r="N32" s="55"/>
      <c r="O32" s="70"/>
      <c r="P32" s="104"/>
      <c r="Q32" s="105"/>
      <c r="R32" s="106"/>
      <c r="S32" s="106"/>
      <c r="T32" s="106"/>
      <c r="U32" s="109"/>
    </row>
    <row r="33" ht="14.25" customHeight="1">
      <c r="A33" s="53" t="s">
        <v>30</v>
      </c>
      <c r="B33" s="65"/>
      <c r="C33" s="12"/>
      <c r="D33" s="66"/>
      <c r="E33" s="67"/>
      <c r="F33" s="105"/>
      <c r="G33" s="106"/>
      <c r="H33" s="106"/>
      <c r="I33" s="106"/>
      <c r="J33" s="109"/>
      <c r="K33" s="43"/>
      <c r="L33" s="53" t="s">
        <v>30</v>
      </c>
      <c r="M33" s="69"/>
      <c r="N33" s="12"/>
      <c r="O33" s="70"/>
      <c r="P33" s="104"/>
      <c r="Q33" s="105"/>
      <c r="R33" s="106"/>
      <c r="S33" s="106"/>
      <c r="T33" s="106"/>
      <c r="U33" s="109"/>
    </row>
    <row r="34" ht="14.25" customHeight="1">
      <c r="A34" s="53" t="s">
        <v>31</v>
      </c>
      <c r="B34" s="65"/>
      <c r="C34" s="12"/>
      <c r="D34" s="66"/>
      <c r="E34" s="67"/>
      <c r="F34" s="105"/>
      <c r="G34" s="106"/>
      <c r="H34" s="106"/>
      <c r="I34" s="106"/>
      <c r="J34" s="109"/>
      <c r="K34" s="43"/>
      <c r="L34" s="53" t="s">
        <v>31</v>
      </c>
      <c r="M34" s="69"/>
      <c r="N34" s="12"/>
      <c r="O34" s="70"/>
      <c r="P34" s="104"/>
      <c r="Q34" s="105"/>
      <c r="R34" s="106"/>
      <c r="S34" s="106"/>
      <c r="T34" s="106"/>
      <c r="U34" s="109"/>
    </row>
    <row r="35" ht="14.25" customHeight="1">
      <c r="A35" s="72" t="s">
        <v>32</v>
      </c>
      <c r="B35" s="80"/>
      <c r="C35" s="26"/>
      <c r="D35" s="81"/>
      <c r="E35" s="75"/>
      <c r="F35" s="113"/>
      <c r="G35" s="114"/>
      <c r="H35" s="114"/>
      <c r="I35" s="114"/>
      <c r="J35" s="115"/>
      <c r="K35" s="43"/>
      <c r="L35" s="72" t="s">
        <v>32</v>
      </c>
      <c r="M35" s="80"/>
      <c r="N35" s="26"/>
      <c r="O35" s="81"/>
      <c r="P35" s="112"/>
      <c r="Q35" s="113"/>
      <c r="R35" s="114"/>
      <c r="S35" s="114"/>
      <c r="T35" s="114"/>
      <c r="U35" s="115"/>
    </row>
    <row r="36" ht="14.25" customHeight="1">
      <c r="A36" s="34" t="s">
        <v>33</v>
      </c>
      <c r="B36" s="82" t="s">
        <v>34</v>
      </c>
      <c r="C36" s="82" t="s">
        <v>35</v>
      </c>
      <c r="D36" s="83" t="s">
        <v>36</v>
      </c>
      <c r="E36" s="9"/>
      <c r="F36" s="35"/>
      <c r="G36" s="35"/>
      <c r="H36" s="35"/>
      <c r="I36" s="35"/>
      <c r="J36" s="35"/>
      <c r="K36" s="43"/>
      <c r="L36" s="34" t="s">
        <v>33</v>
      </c>
      <c r="M36" s="82" t="s">
        <v>34</v>
      </c>
      <c r="N36" s="82" t="s">
        <v>35</v>
      </c>
      <c r="O36" s="83" t="s">
        <v>36</v>
      </c>
      <c r="P36" s="9"/>
      <c r="Q36" s="35"/>
      <c r="R36" s="35"/>
      <c r="S36" s="35"/>
      <c r="T36" s="35"/>
      <c r="U36" s="35"/>
    </row>
    <row r="37" ht="14.25" customHeight="1">
      <c r="A37" s="86" t="s">
        <v>37</v>
      </c>
      <c r="B37" s="87"/>
      <c r="C37" s="88"/>
      <c r="D37" s="35"/>
      <c r="E37" s="17"/>
      <c r="F37" s="35"/>
      <c r="G37" s="35"/>
      <c r="H37" s="35"/>
      <c r="I37" s="35"/>
      <c r="J37" s="35"/>
      <c r="K37" s="43"/>
      <c r="L37" s="86" t="s">
        <v>37</v>
      </c>
      <c r="M37" s="87"/>
      <c r="N37" s="88"/>
      <c r="O37" s="35"/>
      <c r="P37" s="17"/>
      <c r="Q37" s="35"/>
      <c r="R37" s="35"/>
      <c r="S37" s="35"/>
      <c r="T37" s="35"/>
      <c r="U37" s="35"/>
    </row>
    <row r="38" ht="14.25" customHeight="1">
      <c r="A38" s="89" t="s">
        <v>40</v>
      </c>
      <c r="B38" s="90"/>
      <c r="C38" s="91"/>
      <c r="D38" s="29"/>
      <c r="E38" s="31"/>
      <c r="F38" s="35"/>
      <c r="G38" s="35"/>
      <c r="H38" s="35"/>
      <c r="I38" s="35"/>
      <c r="J38" s="35"/>
      <c r="K38" s="43"/>
      <c r="L38" s="89" t="s">
        <v>40</v>
      </c>
      <c r="M38" s="89"/>
      <c r="N38" s="116"/>
      <c r="O38" s="29"/>
      <c r="P38" s="31"/>
      <c r="Q38" s="35"/>
      <c r="R38" s="35"/>
      <c r="S38" s="35"/>
      <c r="T38" s="35"/>
      <c r="U38" s="35"/>
    </row>
    <row r="39" ht="28.5" customHeight="1">
      <c r="A39" s="124"/>
    </row>
    <row r="40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</row>
    <row r="4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</row>
    <row r="50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</row>
    <row r="51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  <row r="58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</row>
    <row r="5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</row>
    <row r="60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</row>
    <row r="61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</row>
    <row r="6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6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</row>
    <row r="70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</row>
    <row r="74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</row>
    <row r="75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</row>
    <row r="76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</row>
    <row r="77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</row>
    <row r="78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</row>
    <row r="7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</row>
    <row r="80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ht="14.2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</sheetData>
  <mergeCells count="77">
    <mergeCell ref="M19:O19"/>
    <mergeCell ref="M20:N20"/>
    <mergeCell ref="N5:O5"/>
    <mergeCell ref="M8:O8"/>
    <mergeCell ref="M9:N9"/>
    <mergeCell ref="M10:N10"/>
    <mergeCell ref="M11:N11"/>
    <mergeCell ref="M12:N12"/>
    <mergeCell ref="M13:N13"/>
    <mergeCell ref="B19:D19"/>
    <mergeCell ref="B20:C20"/>
    <mergeCell ref="B21:C21"/>
    <mergeCell ref="M21:N21"/>
    <mergeCell ref="B22:C22"/>
    <mergeCell ref="M22:N22"/>
    <mergeCell ref="M23:N23"/>
    <mergeCell ref="B23:C23"/>
    <mergeCell ref="B24:C24"/>
    <mergeCell ref="D25:E25"/>
    <mergeCell ref="D26:E27"/>
    <mergeCell ref="O26:P27"/>
    <mergeCell ref="F28:J28"/>
    <mergeCell ref="Q28:U28"/>
    <mergeCell ref="B33:C33"/>
    <mergeCell ref="B34:C34"/>
    <mergeCell ref="B35:C35"/>
    <mergeCell ref="D36:E36"/>
    <mergeCell ref="D37:E38"/>
    <mergeCell ref="M34:N34"/>
    <mergeCell ref="M35:N35"/>
    <mergeCell ref="O36:P36"/>
    <mergeCell ref="O37:P38"/>
    <mergeCell ref="A39:U39"/>
    <mergeCell ref="B30:D30"/>
    <mergeCell ref="M30:O30"/>
    <mergeCell ref="B31:C31"/>
    <mergeCell ref="M31:N31"/>
    <mergeCell ref="B32:C32"/>
    <mergeCell ref="M32:N32"/>
    <mergeCell ref="M33:N33"/>
    <mergeCell ref="A1:U1"/>
    <mergeCell ref="A2:B2"/>
    <mergeCell ref="C2:E2"/>
    <mergeCell ref="F2:J2"/>
    <mergeCell ref="K2:M2"/>
    <mergeCell ref="N2:U2"/>
    <mergeCell ref="A3:B3"/>
    <mergeCell ref="N3:T3"/>
    <mergeCell ref="C3:E3"/>
    <mergeCell ref="F3:M3"/>
    <mergeCell ref="C4:E4"/>
    <mergeCell ref="F4:J4"/>
    <mergeCell ref="K4:M4"/>
    <mergeCell ref="N4:O4"/>
    <mergeCell ref="R4:T4"/>
    <mergeCell ref="R5:T5"/>
    <mergeCell ref="Q6:U6"/>
    <mergeCell ref="A4:B4"/>
    <mergeCell ref="A5:B5"/>
    <mergeCell ref="C5:E5"/>
    <mergeCell ref="F5:J5"/>
    <mergeCell ref="K5:M5"/>
    <mergeCell ref="F6:J6"/>
    <mergeCell ref="B8:D8"/>
    <mergeCell ref="O14:P14"/>
    <mergeCell ref="O15:P16"/>
    <mergeCell ref="F17:J17"/>
    <mergeCell ref="Q17:U17"/>
    <mergeCell ref="B9:C9"/>
    <mergeCell ref="B10:C10"/>
    <mergeCell ref="B11:C11"/>
    <mergeCell ref="B12:C12"/>
    <mergeCell ref="B13:C13"/>
    <mergeCell ref="D14:E14"/>
    <mergeCell ref="D15:E16"/>
    <mergeCell ref="M24:N24"/>
    <mergeCell ref="O25:P25"/>
  </mergeCells>
  <dataValidations>
    <dataValidation type="list" allowBlank="1" sqref="B8 B19 B30">
      <formula1>MEMBRES!$K$2:$K$368</formula1>
    </dataValidation>
    <dataValidation type="list" allowBlank="1" sqref="D9:D13 O9:O13 D20:D24 O20:O24 D31:D35 O31:O35">
      <formula1>'Feuille 4'!$A$1:$A$26</formula1>
    </dataValidation>
    <dataValidation type="list" allowBlank="1" sqref="C3:C5 B9:B13 M8:M13 B20:B24 M19:M24 B31:B35 M30:M35">
      <formula1>MEMBRES!$K$2:$K$337</formula1>
    </dataValidation>
  </dataValidations>
  <printOptions horizontalCentered="1" verticalCentered="1"/>
  <pageMargins bottom="0.0" footer="0.0" header="0.0" left="0.39370078740157477" right="0.0" top="0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0" customHeight="1">
      <c r="A1" s="133" t="str">
        <f>IFERROR(__xludf.DUMMYFUNCTION("IMPORTRANGE(""https://docs.google.com/spreadsheets/d/1hNuhOPhQmINc9WlE-0CsKMGOLkj65IICH2t_5PcyCOw/edit?usp=sharing"" , ""MEMBRES!E2:E400"")"),"M ok")</f>
        <v>M ok</v>
      </c>
      <c r="B1" s="134"/>
    </row>
    <row r="2">
      <c r="A2" s="135" t="str">
        <f>IFERROR(__xludf.DUMMYFUNCTION("""COMPUTED_VALUE"""),"#VALUE!")</f>
        <v>#VALUE!</v>
      </c>
      <c r="B2" s="136"/>
    </row>
    <row r="3">
      <c r="A3" s="135" t="str">
        <f>IFERROR(__xludf.DUMMYFUNCTION("""COMPUTED_VALUE"""),"Mme ok")</f>
        <v>Mme ok</v>
      </c>
      <c r="B3" s="136"/>
    </row>
    <row r="4">
      <c r="A4" s="133" t="str">
        <f>IFERROR(__xludf.DUMMYFUNCTION("""COMPUTED_VALUE"""),"Mme ok")</f>
        <v>Mme ok</v>
      </c>
      <c r="B4" s="136"/>
    </row>
    <row r="5">
      <c r="A5" s="135" t="str">
        <f>IFERROR(__xludf.DUMMYFUNCTION("""COMPUTED_VALUE"""),"M ok")</f>
        <v>M ok</v>
      </c>
      <c r="B5" s="136"/>
    </row>
    <row r="6">
      <c r="A6" s="135" t="str">
        <f>IFERROR(__xludf.DUMMYFUNCTION("""COMPUTED_VALUE"""),"Mme ok")</f>
        <v>Mme ok</v>
      </c>
      <c r="B6" s="136"/>
    </row>
    <row r="7">
      <c r="A7" s="135" t="str">
        <f>IFERROR(__xludf.DUMMYFUNCTION("""COMPUTED_VALUE"""),"Mme ok")</f>
        <v>Mme ok</v>
      </c>
      <c r="B7" s="136"/>
    </row>
    <row r="8">
      <c r="A8" s="135" t="str">
        <f>IFERROR(__xludf.DUMMYFUNCTION("""COMPUTED_VALUE"""),"M. ok")</f>
        <v>M. ok</v>
      </c>
      <c r="B8" s="136"/>
    </row>
    <row r="9">
      <c r="A9" s="135" t="str">
        <f>IFERROR(__xludf.DUMMYFUNCTION("""COMPUTED_VALUE"""),"M.  ok")</f>
        <v>M.  ok</v>
      </c>
      <c r="B9" s="136"/>
    </row>
    <row r="10">
      <c r="A10" s="135" t="str">
        <f>IFERROR(__xludf.DUMMYFUNCTION("""COMPUTED_VALUE"""),"M.  ok")</f>
        <v>M.  ok</v>
      </c>
      <c r="B10" s="136"/>
    </row>
    <row r="11">
      <c r="A11" s="135" t="str">
        <f>IFERROR(__xludf.DUMMYFUNCTION("""COMPUTED_VALUE"""),"Mme ok")</f>
        <v>Mme ok</v>
      </c>
      <c r="B11" s="136"/>
    </row>
    <row r="12">
      <c r="A12" s="135" t="str">
        <f>IFERROR(__xludf.DUMMYFUNCTION("""COMPUTED_VALUE"""),"M.  ok")</f>
        <v>M.  ok</v>
      </c>
      <c r="B12" s="136"/>
    </row>
    <row r="13">
      <c r="A13" s="135" t="str">
        <f>IFERROR(__xludf.DUMMYFUNCTION("""COMPUTED_VALUE"""),"Mme  ok")</f>
        <v>Mme  ok</v>
      </c>
      <c r="B13" s="136"/>
    </row>
    <row r="14">
      <c r="A14" s="135" t="str">
        <f>IFERROR(__xludf.DUMMYFUNCTION("""COMPUTED_VALUE"""),"M.  ok")</f>
        <v>M.  ok</v>
      </c>
      <c r="B14" s="136"/>
    </row>
    <row r="15">
      <c r="A15" s="135" t="str">
        <f>IFERROR(__xludf.DUMMYFUNCTION("""COMPUTED_VALUE"""),"Mme ok")</f>
        <v>Mme ok</v>
      </c>
      <c r="B15" s="136"/>
    </row>
    <row r="16">
      <c r="A16" s="135" t="str">
        <f>IFERROR(__xludf.DUMMYFUNCTION("""COMPUTED_VALUE"""),"M.  ok")</f>
        <v>M.  ok</v>
      </c>
      <c r="B16" s="136"/>
    </row>
    <row r="17">
      <c r="A17" s="135" t="str">
        <f>IFERROR(__xludf.DUMMYFUNCTION("""COMPUTED_VALUE"""),"M ok")</f>
        <v>M ok</v>
      </c>
      <c r="B17" s="136"/>
    </row>
    <row r="18">
      <c r="A18" s="135" t="str">
        <f>IFERROR(__xludf.DUMMYFUNCTION("""COMPUTED_VALUE"""),"M ok")</f>
        <v>M ok</v>
      </c>
      <c r="B18" s="136"/>
    </row>
    <row r="19">
      <c r="A19" s="135" t="str">
        <f>IFERROR(__xludf.DUMMYFUNCTION("""COMPUTED_VALUE"""),"M ok")</f>
        <v>M ok</v>
      </c>
      <c r="B19" s="136"/>
    </row>
    <row r="20">
      <c r="A20" s="135" t="str">
        <f>IFERROR(__xludf.DUMMYFUNCTION("""COMPUTED_VALUE"""),"Mme ok")</f>
        <v>Mme ok</v>
      </c>
      <c r="B20" s="136"/>
    </row>
    <row r="21">
      <c r="A21" s="135" t="str">
        <f>IFERROR(__xludf.DUMMYFUNCTION("""COMPUTED_VALUE"""),"M ok")</f>
        <v>M ok</v>
      </c>
      <c r="B21" s="136"/>
    </row>
    <row r="22">
      <c r="A22" s="135" t="str">
        <f>IFERROR(__xludf.DUMMYFUNCTION("""COMPUTED_VALUE"""),"M.  ok")</f>
        <v>M.  ok</v>
      </c>
      <c r="B22" s="136"/>
    </row>
    <row r="23">
      <c r="A23" s="135" t="str">
        <f>IFERROR(__xludf.DUMMYFUNCTION("""COMPUTED_VALUE"""),"Mme ok")</f>
        <v>Mme ok</v>
      </c>
      <c r="B23" s="136"/>
    </row>
    <row r="24">
      <c r="A24" s="135" t="str">
        <f>IFERROR(__xludf.DUMMYFUNCTION("""COMPUTED_VALUE"""),"M ok")</f>
        <v>M ok</v>
      </c>
      <c r="B24" s="136"/>
    </row>
    <row r="25">
      <c r="A25" s="135" t="str">
        <f>IFERROR(__xludf.DUMMYFUNCTION("""COMPUTED_VALUE"""),"Mme ok")</f>
        <v>Mme ok</v>
      </c>
      <c r="B25" s="136"/>
    </row>
    <row r="26">
      <c r="A26" s="135" t="str">
        <f>IFERROR(__xludf.DUMMYFUNCTION("""COMPUTED_VALUE"""),"Mme  ok")</f>
        <v>Mme  ok</v>
      </c>
      <c r="B26" s="136"/>
    </row>
    <row r="27">
      <c r="A27" s="135" t="str">
        <f>IFERROR(__xludf.DUMMYFUNCTION("""COMPUTED_VALUE"""),"Mme  ok")</f>
        <v>Mme  ok</v>
      </c>
      <c r="B27" s="136"/>
    </row>
    <row r="28">
      <c r="A28" s="135" t="str">
        <f>IFERROR(__xludf.DUMMYFUNCTION("""COMPUTED_VALUE"""),"M.  ok")</f>
        <v>M.  ok</v>
      </c>
      <c r="B28" s="136"/>
    </row>
    <row r="29">
      <c r="A29" s="135" t="str">
        <f>IFERROR(__xludf.DUMMYFUNCTION("""COMPUTED_VALUE"""),"M.  ok")</f>
        <v>M.  ok</v>
      </c>
      <c r="B29" s="136"/>
    </row>
    <row r="30">
      <c r="A30" s="135" t="str">
        <f>IFERROR(__xludf.DUMMYFUNCTION("""COMPUTED_VALUE"""),"Mme ok")</f>
        <v>Mme ok</v>
      </c>
      <c r="B30" s="136"/>
    </row>
    <row r="31">
      <c r="A31" s="135" t="str">
        <f>IFERROR(__xludf.DUMMYFUNCTION("""COMPUTED_VALUE"""),"M ok")</f>
        <v>M ok</v>
      </c>
      <c r="B31" s="136"/>
    </row>
    <row r="32">
      <c r="A32" s="135" t="str">
        <f>IFERROR(__xludf.DUMMYFUNCTION("""COMPUTED_VALUE"""),"M ok")</f>
        <v>M ok</v>
      </c>
      <c r="B32" s="136"/>
    </row>
    <row r="33">
      <c r="A33" s="135" t="str">
        <f>IFERROR(__xludf.DUMMYFUNCTION("""COMPUTED_VALUE"""),"M ok")</f>
        <v>M ok</v>
      </c>
      <c r="B33" s="136"/>
    </row>
    <row r="34">
      <c r="A34" s="135" t="str">
        <f>IFERROR(__xludf.DUMMYFUNCTION("""COMPUTED_VALUE"""),"M ok")</f>
        <v>M ok</v>
      </c>
      <c r="B34" s="136"/>
    </row>
    <row r="35">
      <c r="A35" s="135" t="str">
        <f>IFERROR(__xludf.DUMMYFUNCTION("""COMPUTED_VALUE"""),"M. ok")</f>
        <v>M. ok</v>
      </c>
      <c r="B35" s="136"/>
    </row>
    <row r="36">
      <c r="A36" s="135" t="str">
        <f>IFERROR(__xludf.DUMMYFUNCTION("""COMPUTED_VALUE"""),"Mme ok")</f>
        <v>Mme ok</v>
      </c>
      <c r="B36" s="136"/>
    </row>
    <row r="37">
      <c r="A37" s="135" t="str">
        <f>IFERROR(__xludf.DUMMYFUNCTION("""COMPUTED_VALUE"""),"M.  ok")</f>
        <v>M.  ok</v>
      </c>
      <c r="B37" s="136"/>
    </row>
    <row r="38">
      <c r="A38" s="135" t="str">
        <f>IFERROR(__xludf.DUMMYFUNCTION("""COMPUTED_VALUE"""),"M ok")</f>
        <v>M ok</v>
      </c>
      <c r="B38" s="136"/>
    </row>
    <row r="39">
      <c r="A39" s="135" t="str">
        <f>IFERROR(__xludf.DUMMYFUNCTION("""COMPUTED_VALUE"""),"M. ok")</f>
        <v>M. ok</v>
      </c>
      <c r="B39" s="136"/>
    </row>
    <row r="40">
      <c r="A40" s="135" t="str">
        <f>IFERROR(__xludf.DUMMYFUNCTION("""COMPUTED_VALUE"""),"#VALUE!")</f>
        <v>#VALUE!</v>
      </c>
      <c r="B40" s="136"/>
    </row>
    <row r="41">
      <c r="A41" s="135" t="str">
        <f>IFERROR(__xludf.DUMMYFUNCTION("""COMPUTED_VALUE"""),"M.  ok")</f>
        <v>M.  ok</v>
      </c>
      <c r="B41" s="136"/>
    </row>
    <row r="42">
      <c r="A42" s="135" t="str">
        <f>IFERROR(__xludf.DUMMYFUNCTION("""COMPUTED_VALUE"""),"Mme ok")</f>
        <v>Mme ok</v>
      </c>
      <c r="B42" s="136"/>
    </row>
    <row r="43">
      <c r="A43" s="135" t="str">
        <f>IFERROR(__xludf.DUMMYFUNCTION("""COMPUTED_VALUE"""),"M ok")</f>
        <v>M ok</v>
      </c>
      <c r="B43" s="136"/>
    </row>
    <row r="44">
      <c r="A44" s="135" t="str">
        <f>IFERROR(__xludf.DUMMYFUNCTION("""COMPUTED_VALUE"""),"M.  ok")</f>
        <v>M.  ok</v>
      </c>
      <c r="B44" s="136"/>
    </row>
    <row r="45">
      <c r="A45" s="135" t="str">
        <f>IFERROR(__xludf.DUMMYFUNCTION("""COMPUTED_VALUE"""),"Mme  ok")</f>
        <v>Mme  ok</v>
      </c>
      <c r="B45" s="136"/>
    </row>
    <row r="46">
      <c r="A46" s="135" t="str">
        <f>IFERROR(__xludf.DUMMYFUNCTION("""COMPUTED_VALUE"""),"M ok")</f>
        <v>M ok</v>
      </c>
      <c r="B46" s="136"/>
    </row>
    <row r="47">
      <c r="A47" s="135" t="str">
        <f>IFERROR(__xludf.DUMMYFUNCTION("""COMPUTED_VALUE"""),"Mlle  ok")</f>
        <v>Mlle  ok</v>
      </c>
      <c r="B47" s="136"/>
    </row>
    <row r="48">
      <c r="A48" s="135" t="str">
        <f>IFERROR(__xludf.DUMMYFUNCTION("""COMPUTED_VALUE"""),"Mlle  ok")</f>
        <v>Mlle  ok</v>
      </c>
      <c r="B48" s="136"/>
    </row>
    <row r="49">
      <c r="A49" s="135" t="str">
        <f>IFERROR(__xludf.DUMMYFUNCTION("""COMPUTED_VALUE"""),"M.  ok")</f>
        <v>M.  ok</v>
      </c>
      <c r="B49" s="136"/>
    </row>
    <row r="50">
      <c r="A50" s="135" t="str">
        <f>IFERROR(__xludf.DUMMYFUNCTION("""COMPUTED_VALUE"""),"Mlle ok")</f>
        <v>Mlle ok</v>
      </c>
      <c r="B50" s="136"/>
    </row>
    <row r="51">
      <c r="A51" s="135" t="str">
        <f>IFERROR(__xludf.DUMMYFUNCTION("""COMPUTED_VALUE"""),"M ko")</f>
        <v>M ko</v>
      </c>
      <c r="B51" s="136"/>
    </row>
    <row r="52">
      <c r="A52" s="135" t="str">
        <f>IFERROR(__xludf.DUMMYFUNCTION("""COMPUTED_VALUE"""),"Mme ko")</f>
        <v>Mme ko</v>
      </c>
      <c r="B52" s="136"/>
    </row>
    <row r="53">
      <c r="A53" s="135" t="str">
        <f>IFERROR(__xludf.DUMMYFUNCTION("""COMPUTED_VALUE"""),"M ok")</f>
        <v>M ok</v>
      </c>
      <c r="B53" s="136"/>
    </row>
    <row r="54">
      <c r="A54" s="135" t="str">
        <f>IFERROR(__xludf.DUMMYFUNCTION("""COMPUTED_VALUE"""),"Mme ok")</f>
        <v>Mme ok</v>
      </c>
      <c r="B54" s="136"/>
    </row>
    <row r="55">
      <c r="A55" s="135" t="str">
        <f>IFERROR(__xludf.DUMMYFUNCTION("""COMPUTED_VALUE"""),"M.  ok")</f>
        <v>M.  ok</v>
      </c>
      <c r="B55" s="136"/>
    </row>
    <row r="56">
      <c r="A56" s="135" t="str">
        <f>IFERROR(__xludf.DUMMYFUNCTION("""COMPUTED_VALUE"""),"M.  ok")</f>
        <v>M.  ok</v>
      </c>
      <c r="B56" s="136"/>
    </row>
    <row r="57">
      <c r="A57" s="135" t="str">
        <f>IFERROR(__xludf.DUMMYFUNCTION("""COMPUTED_VALUE"""),"M ok")</f>
        <v>M ok</v>
      </c>
      <c r="B57" s="136"/>
    </row>
    <row r="58">
      <c r="A58" s="135" t="str">
        <f>IFERROR(__xludf.DUMMYFUNCTION("""COMPUTED_VALUE"""),"M ok")</f>
        <v>M ok</v>
      </c>
      <c r="B58" s="136"/>
    </row>
    <row r="59">
      <c r="A59" s="135" t="str">
        <f>IFERROR(__xludf.DUMMYFUNCTION("""COMPUTED_VALUE"""),"M ko")</f>
        <v>M ko</v>
      </c>
      <c r="B59" s="136"/>
    </row>
    <row r="60">
      <c r="A60" s="135" t="str">
        <f>IFERROR(__xludf.DUMMYFUNCTION("""COMPUTED_VALUE"""),"M ok")</f>
        <v>M ok</v>
      </c>
      <c r="B60" s="136"/>
    </row>
    <row r="61">
      <c r="A61" s="135" t="str">
        <f>IFERROR(__xludf.DUMMYFUNCTION("""COMPUTED_VALUE"""),"Mme ok")</f>
        <v>Mme ok</v>
      </c>
      <c r="B61" s="136"/>
    </row>
    <row r="62">
      <c r="A62" s="135" t="str">
        <f>IFERROR(__xludf.DUMMYFUNCTION("""COMPUTED_VALUE"""),"Mme ok")</f>
        <v>Mme ok</v>
      </c>
      <c r="B62" s="136"/>
    </row>
    <row r="63">
      <c r="A63" s="135" t="str">
        <f>IFERROR(__xludf.DUMMYFUNCTION("""COMPUTED_VALUE"""),"M ok")</f>
        <v>M ok</v>
      </c>
      <c r="B63" s="136"/>
    </row>
    <row r="64">
      <c r="A64" s="135" t="str">
        <f>IFERROR(__xludf.DUMMYFUNCTION("""COMPUTED_VALUE"""),"M.  ok")</f>
        <v>M.  ok</v>
      </c>
      <c r="B64" s="136"/>
    </row>
    <row r="65">
      <c r="A65" s="135" t="str">
        <f>IFERROR(__xludf.DUMMYFUNCTION("""COMPUTED_VALUE"""),"M.  ok")</f>
        <v>M.  ok</v>
      </c>
      <c r="B65" s="136"/>
    </row>
    <row r="66">
      <c r="A66" s="135" t="str">
        <f>IFERROR(__xludf.DUMMYFUNCTION("""COMPUTED_VALUE"""),"Mme ok")</f>
        <v>Mme ok</v>
      </c>
      <c r="B66" s="136"/>
    </row>
    <row r="67">
      <c r="A67" s="135" t="str">
        <f>IFERROR(__xludf.DUMMYFUNCTION("""COMPUTED_VALUE"""),"#VALUE!")</f>
        <v>#VALUE!</v>
      </c>
      <c r="B67" s="136"/>
    </row>
    <row r="68">
      <c r="A68" s="135" t="str">
        <f>IFERROR(__xludf.DUMMYFUNCTION("""COMPUTED_VALUE"""),"Mme ok")</f>
        <v>Mme ok</v>
      </c>
      <c r="B68" s="136"/>
    </row>
    <row r="69">
      <c r="A69" s="135" t="str">
        <f>IFERROR(__xludf.DUMMYFUNCTION("""COMPUTED_VALUE"""),"M ok")</f>
        <v>M ok</v>
      </c>
      <c r="B69" s="136"/>
    </row>
    <row r="70">
      <c r="A70" s="135" t="str">
        <f>IFERROR(__xludf.DUMMYFUNCTION("""COMPUTED_VALUE"""),"Mme ok")</f>
        <v>Mme ok</v>
      </c>
      <c r="B70" s="136"/>
    </row>
    <row r="71">
      <c r="A71" s="135" t="str">
        <f>IFERROR(__xludf.DUMMYFUNCTION("""COMPUTED_VALUE"""),"Mme ok")</f>
        <v>Mme ok</v>
      </c>
      <c r="B71" s="136"/>
    </row>
    <row r="72">
      <c r="A72" s="135" t="str">
        <f>IFERROR(__xludf.DUMMYFUNCTION("""COMPUTED_VALUE"""),"Mlle  ok")</f>
        <v>Mlle  ok</v>
      </c>
      <c r="B72" s="136"/>
    </row>
    <row r="73">
      <c r="A73" s="135" t="str">
        <f>IFERROR(__xludf.DUMMYFUNCTION("""COMPUTED_VALUE"""),"M.  ok")</f>
        <v>M.  ok</v>
      </c>
      <c r="B73" s="136"/>
    </row>
    <row r="74">
      <c r="A74" s="135" t="str">
        <f>IFERROR(__xludf.DUMMYFUNCTION("""COMPUTED_VALUE"""),"Mme  ok")</f>
        <v>Mme  ok</v>
      </c>
      <c r="B74" s="136"/>
    </row>
    <row r="75">
      <c r="A75" s="135" t="str">
        <f>IFERROR(__xludf.DUMMYFUNCTION("""COMPUTED_VALUE"""),"M ok")</f>
        <v>M ok</v>
      </c>
      <c r="B75" s="136"/>
    </row>
    <row r="76">
      <c r="A76" s="135" t="str">
        <f>IFERROR(__xludf.DUMMYFUNCTION("""COMPUTED_VALUE"""),"M ok")</f>
        <v>M ok</v>
      </c>
      <c r="B76" s="136"/>
    </row>
    <row r="77">
      <c r="A77" s="135" t="str">
        <f>IFERROR(__xludf.DUMMYFUNCTION("""COMPUTED_VALUE"""),"Mme ok")</f>
        <v>Mme ok</v>
      </c>
      <c r="B77" s="136"/>
    </row>
    <row r="78">
      <c r="A78" s="135" t="str">
        <f>IFERROR(__xludf.DUMMYFUNCTION("""COMPUTED_VALUE"""),"Mme ok")</f>
        <v>Mme ok</v>
      </c>
      <c r="B78" s="136"/>
    </row>
    <row r="79">
      <c r="A79" s="135" t="str">
        <f>IFERROR(__xludf.DUMMYFUNCTION("""COMPUTED_VALUE"""),"Mme ok")</f>
        <v>Mme ok</v>
      </c>
      <c r="B79" s="136"/>
    </row>
    <row r="80">
      <c r="A80" s="135" t="str">
        <f>IFERROR(__xludf.DUMMYFUNCTION("""COMPUTED_VALUE"""),"M ok")</f>
        <v>M ok</v>
      </c>
      <c r="B80" s="136"/>
    </row>
    <row r="81">
      <c r="A81" s="135" t="str">
        <f>IFERROR(__xludf.DUMMYFUNCTION("""COMPUTED_VALUE"""),"M ok")</f>
        <v>M ok</v>
      </c>
      <c r="B81" s="136"/>
    </row>
    <row r="82">
      <c r="A82" s="135" t="str">
        <f>IFERROR(__xludf.DUMMYFUNCTION("""COMPUTED_VALUE"""),"M.  ok")</f>
        <v>M.  ok</v>
      </c>
      <c r="B82" s="136"/>
    </row>
    <row r="83">
      <c r="A83" s="135" t="str">
        <f>IFERROR(__xludf.DUMMYFUNCTION("""COMPUTED_VALUE"""),"M ok")</f>
        <v>M ok</v>
      </c>
      <c r="B83" s="136"/>
    </row>
    <row r="84">
      <c r="A84" s="135" t="str">
        <f>IFERROR(__xludf.DUMMYFUNCTION("""COMPUTED_VALUE"""),"M ok")</f>
        <v>M ok</v>
      </c>
      <c r="B84" s="136"/>
    </row>
    <row r="85">
      <c r="A85" s="135" t="str">
        <f>IFERROR(__xludf.DUMMYFUNCTION("""COMPUTED_VALUE"""),"M ok")</f>
        <v>M ok</v>
      </c>
      <c r="B85" s="136"/>
    </row>
    <row r="86">
      <c r="A86" s="135" t="str">
        <f>IFERROR(__xludf.DUMMYFUNCTION("""COMPUTED_VALUE"""),"M ok")</f>
        <v>M ok</v>
      </c>
      <c r="B86" s="136"/>
    </row>
    <row r="87">
      <c r="A87" s="135" t="str">
        <f>IFERROR(__xludf.DUMMYFUNCTION("""COMPUTED_VALUE"""),"Mme ok")</f>
        <v>Mme ok</v>
      </c>
      <c r="B87" s="136"/>
    </row>
    <row r="88">
      <c r="A88" s="135" t="str">
        <f>IFERROR(__xludf.DUMMYFUNCTION("""COMPUTED_VALUE"""),"M ok")</f>
        <v>M ok</v>
      </c>
      <c r="B88" s="136"/>
    </row>
    <row r="89">
      <c r="A89" s="135" t="str">
        <f>IFERROR(__xludf.DUMMYFUNCTION("""COMPUTED_VALUE"""),"M. ok")</f>
        <v>M. ok</v>
      </c>
      <c r="B89" s="136"/>
    </row>
    <row r="90">
      <c r="A90" s="135" t="str">
        <f>IFERROR(__xludf.DUMMYFUNCTION("""COMPUTED_VALUE"""),"M ok")</f>
        <v>M ok</v>
      </c>
      <c r="B90" s="136"/>
    </row>
    <row r="91">
      <c r="A91" s="135" t="str">
        <f>IFERROR(__xludf.DUMMYFUNCTION("""COMPUTED_VALUE"""),"M ok")</f>
        <v>M ok</v>
      </c>
      <c r="B91" s="136"/>
    </row>
    <row r="92">
      <c r="A92" s="135" t="str">
        <f>IFERROR(__xludf.DUMMYFUNCTION("""COMPUTED_VALUE"""),"M.  ok")</f>
        <v>M.  ok</v>
      </c>
      <c r="B92" s="136"/>
    </row>
    <row r="93">
      <c r="A93" s="135" t="str">
        <f>IFERROR(__xludf.DUMMYFUNCTION("""COMPUTED_VALUE"""),"M.  ok")</f>
        <v>M.  ok</v>
      </c>
      <c r="B93" s="136"/>
    </row>
    <row r="94">
      <c r="A94" s="135" t="str">
        <f>IFERROR(__xludf.DUMMYFUNCTION("""COMPUTED_VALUE"""),"M ok")</f>
        <v>M ok</v>
      </c>
      <c r="B94" s="136"/>
    </row>
    <row r="95">
      <c r="A95" s="135" t="str">
        <f>IFERROR(__xludf.DUMMYFUNCTION("""COMPUTED_VALUE"""),"M ok")</f>
        <v>M ok</v>
      </c>
      <c r="B95" s="136"/>
    </row>
    <row r="96">
      <c r="A96" s="135" t="str">
        <f>IFERROR(__xludf.DUMMYFUNCTION("""COMPUTED_VALUE"""),"Mme ok")</f>
        <v>Mme ok</v>
      </c>
      <c r="B96" s="136"/>
    </row>
    <row r="97">
      <c r="A97" s="135" t="str">
        <f>IFERROR(__xludf.DUMMYFUNCTION("""COMPUTED_VALUE"""),"M ok")</f>
        <v>M ok</v>
      </c>
      <c r="B97" s="136"/>
    </row>
    <row r="98">
      <c r="A98" s="135" t="str">
        <f>IFERROR(__xludf.DUMMYFUNCTION("""COMPUTED_VALUE"""),"M ok")</f>
        <v>M ok</v>
      </c>
      <c r="B98" s="136"/>
    </row>
    <row r="99">
      <c r="A99" s="135" t="str">
        <f>IFERROR(__xludf.DUMMYFUNCTION("""COMPUTED_VALUE"""),"M.  ok")</f>
        <v>M.  ok</v>
      </c>
      <c r="B99" s="136"/>
    </row>
    <row r="100">
      <c r="A100" s="135" t="str">
        <f>IFERROR(__xludf.DUMMYFUNCTION("""COMPUTED_VALUE"""),"M ok")</f>
        <v>M ok</v>
      </c>
      <c r="B100" s="136"/>
    </row>
    <row r="101">
      <c r="A101" s="135" t="str">
        <f>IFERROR(__xludf.DUMMYFUNCTION("""COMPUTED_VALUE"""),"Mme ok")</f>
        <v>Mme ok</v>
      </c>
      <c r="B101" s="136"/>
    </row>
    <row r="102">
      <c r="A102" s="135" t="str">
        <f>IFERROR(__xludf.DUMMYFUNCTION("""COMPUTED_VALUE"""),"M.  ok")</f>
        <v>M.  ok</v>
      </c>
      <c r="B102" s="136"/>
    </row>
    <row r="103">
      <c r="A103" s="135" t="str">
        <f>IFERROR(__xludf.DUMMYFUNCTION("""COMPUTED_VALUE"""),"M ok")</f>
        <v>M ok</v>
      </c>
      <c r="B103" s="136"/>
    </row>
    <row r="104">
      <c r="A104" s="135" t="str">
        <f>IFERROR(__xludf.DUMMYFUNCTION("""COMPUTED_VALUE"""),"M.  ok")</f>
        <v>M.  ok</v>
      </c>
      <c r="B104" s="136"/>
    </row>
    <row r="105">
      <c r="A105" s="135" t="str">
        <f>IFERROR(__xludf.DUMMYFUNCTION("""COMPUTED_VALUE"""),"M. ok")</f>
        <v>M. ok</v>
      </c>
      <c r="B105" s="136"/>
    </row>
    <row r="106">
      <c r="A106" s="135" t="str">
        <f>IFERROR(__xludf.DUMMYFUNCTION("""COMPUTED_VALUE"""),"M ok")</f>
        <v>M ok</v>
      </c>
      <c r="B106" s="136"/>
    </row>
    <row r="107">
      <c r="A107" s="135" t="str">
        <f>IFERROR(__xludf.DUMMYFUNCTION("""COMPUTED_VALUE"""),"M.  ok")</f>
        <v>M.  ok</v>
      </c>
      <c r="B107" s="136"/>
    </row>
    <row r="108">
      <c r="A108" s="135" t="str">
        <f>IFERROR(__xludf.DUMMYFUNCTION("""COMPUTED_VALUE"""),"M.  ok")</f>
        <v>M.  ok</v>
      </c>
      <c r="B108" s="136"/>
    </row>
    <row r="109">
      <c r="A109" s="135" t="str">
        <f>IFERROR(__xludf.DUMMYFUNCTION("""COMPUTED_VALUE"""),"M. ok")</f>
        <v>M. ok</v>
      </c>
      <c r="B109" s="136"/>
    </row>
    <row r="110">
      <c r="A110" s="135" t="str">
        <f>IFERROR(__xludf.DUMMYFUNCTION("""COMPUTED_VALUE"""),"M. ok")</f>
        <v>M. ok</v>
      </c>
      <c r="B110" s="136"/>
    </row>
    <row r="111">
      <c r="A111" s="135" t="str">
        <f>IFERROR(__xludf.DUMMYFUNCTION("""COMPUTED_VALUE"""),"M ok")</f>
        <v>M ok</v>
      </c>
      <c r="B111" s="136"/>
    </row>
    <row r="112">
      <c r="A112" s="135" t="str">
        <f>IFERROR(__xludf.DUMMYFUNCTION("""COMPUTED_VALUE"""),"M ok")</f>
        <v>M ok</v>
      </c>
      <c r="B112" s="136"/>
    </row>
    <row r="113">
      <c r="A113" s="135" t="str">
        <f>IFERROR(__xludf.DUMMYFUNCTION("""COMPUTED_VALUE"""),"M.  ok")</f>
        <v>M.  ok</v>
      </c>
      <c r="B113" s="136"/>
    </row>
    <row r="114">
      <c r="A114" s="135" t="str">
        <f>IFERROR(__xludf.DUMMYFUNCTION("""COMPUTED_VALUE"""),"M.  ok")</f>
        <v>M.  ok</v>
      </c>
      <c r="B114" s="136"/>
    </row>
    <row r="115">
      <c r="A115" s="135" t="str">
        <f>IFERROR(__xludf.DUMMYFUNCTION("""COMPUTED_VALUE"""),"Mme ok")</f>
        <v>Mme ok</v>
      </c>
      <c r="B115" s="136"/>
    </row>
    <row r="116">
      <c r="A116" s="135" t="str">
        <f>IFERROR(__xludf.DUMMYFUNCTION("""COMPUTED_VALUE"""),"M ok")</f>
        <v>M ok</v>
      </c>
      <c r="B116" s="136"/>
    </row>
    <row r="117">
      <c r="A117" s="135" t="str">
        <f>IFERROR(__xludf.DUMMYFUNCTION("""COMPUTED_VALUE"""),"M ok")</f>
        <v>M ok</v>
      </c>
      <c r="B117" s="136"/>
    </row>
    <row r="118">
      <c r="A118" s="135" t="str">
        <f>IFERROR(__xludf.DUMMYFUNCTION("""COMPUTED_VALUE"""),"M ok")</f>
        <v>M ok</v>
      </c>
      <c r="B118" s="136"/>
    </row>
    <row r="119">
      <c r="A119" s="135" t="str">
        <f>IFERROR(__xludf.DUMMYFUNCTION("""COMPUTED_VALUE"""),"M. ok")</f>
        <v>M. ok</v>
      </c>
      <c r="B119" s="136"/>
    </row>
    <row r="120">
      <c r="A120" s="135" t="str">
        <f>IFERROR(__xludf.DUMMYFUNCTION("""COMPUTED_VALUE"""),"M ok")</f>
        <v>M ok</v>
      </c>
      <c r="B120" s="136"/>
    </row>
    <row r="121">
      <c r="A121" s="135" t="str">
        <f>IFERROR(__xludf.DUMMYFUNCTION("""COMPUTED_VALUE"""),"M ok")</f>
        <v>M ok</v>
      </c>
      <c r="B121" s="136"/>
    </row>
    <row r="122">
      <c r="A122" s="135" t="str">
        <f>IFERROR(__xludf.DUMMYFUNCTION("""COMPUTED_VALUE"""),"Mme ok")</f>
        <v>Mme ok</v>
      </c>
      <c r="B122" s="136"/>
    </row>
    <row r="123">
      <c r="A123" s="135" t="str">
        <f>IFERROR(__xludf.DUMMYFUNCTION("""COMPUTED_VALUE"""),"Mme ok")</f>
        <v>Mme ok</v>
      </c>
      <c r="B123" s="136"/>
    </row>
    <row r="124">
      <c r="A124" s="135" t="str">
        <f>IFERROR(__xludf.DUMMYFUNCTION("""COMPUTED_VALUE"""),"M.  ok")</f>
        <v>M.  ok</v>
      </c>
      <c r="B124" s="136"/>
    </row>
    <row r="125">
      <c r="A125" s="135" t="str">
        <f>IFERROR(__xludf.DUMMYFUNCTION("""COMPUTED_VALUE"""),"M ok")</f>
        <v>M ok</v>
      </c>
      <c r="B125" s="136"/>
    </row>
    <row r="126">
      <c r="A126" s="135" t="str">
        <f>IFERROR(__xludf.DUMMYFUNCTION("""COMPUTED_VALUE"""),"Mme ok")</f>
        <v>Mme ok</v>
      </c>
      <c r="B126" s="136"/>
    </row>
    <row r="127">
      <c r="A127" s="135" t="str">
        <f>IFERROR(__xludf.DUMMYFUNCTION("""COMPUTED_VALUE"""),"#VALUE!")</f>
        <v>#VALUE!</v>
      </c>
      <c r="B127" s="136"/>
    </row>
    <row r="128">
      <c r="A128" s="135" t="str">
        <f>IFERROR(__xludf.DUMMYFUNCTION("""COMPUTED_VALUE"""),"Mme ok")</f>
        <v>Mme ok</v>
      </c>
      <c r="B128" s="136"/>
    </row>
    <row r="129">
      <c r="A129" s="135" t="str">
        <f>IFERROR(__xludf.DUMMYFUNCTION("""COMPUTED_VALUE"""),"M.  ok")</f>
        <v>M.  ok</v>
      </c>
      <c r="B129" s="136"/>
    </row>
    <row r="130">
      <c r="A130" s="135" t="str">
        <f>IFERROR(__xludf.DUMMYFUNCTION("""COMPUTED_VALUE"""),"M. ok")</f>
        <v>M. ok</v>
      </c>
      <c r="B130" s="136"/>
    </row>
    <row r="131">
      <c r="A131" s="135" t="str">
        <f>IFERROR(__xludf.DUMMYFUNCTION("""COMPUTED_VALUE"""),"Mme ok")</f>
        <v>Mme ok</v>
      </c>
      <c r="B131" s="136"/>
    </row>
    <row r="132">
      <c r="A132" s="135" t="str">
        <f>IFERROR(__xludf.DUMMYFUNCTION("""COMPUTED_VALUE"""),"Mme  ok")</f>
        <v>Mme  ok</v>
      </c>
      <c r="B132" s="136"/>
    </row>
    <row r="133">
      <c r="A133" s="135" t="str">
        <f>IFERROR(__xludf.DUMMYFUNCTION("""COMPUTED_VALUE"""),"M ok")</f>
        <v>M ok</v>
      </c>
      <c r="B133" s="136"/>
    </row>
    <row r="134">
      <c r="A134" s="135" t="str">
        <f>IFERROR(__xludf.DUMMYFUNCTION("""COMPUTED_VALUE"""),"M ok")</f>
        <v>M ok</v>
      </c>
      <c r="B134" s="136"/>
    </row>
    <row r="135">
      <c r="A135" s="135" t="str">
        <f>IFERROR(__xludf.DUMMYFUNCTION("""COMPUTED_VALUE"""),"Mlle  ok")</f>
        <v>Mlle  ok</v>
      </c>
      <c r="B135" s="136"/>
    </row>
    <row r="136">
      <c r="A136" s="135" t="str">
        <f>IFERROR(__xludf.DUMMYFUNCTION("""COMPUTED_VALUE"""),"M ok")</f>
        <v>M ok</v>
      </c>
      <c r="B136" s="136"/>
    </row>
    <row r="137">
      <c r="A137" s="135" t="str">
        <f>IFERROR(__xludf.DUMMYFUNCTION("""COMPUTED_VALUE"""),"Mme ok")</f>
        <v>Mme ok</v>
      </c>
      <c r="B137" s="136"/>
    </row>
    <row r="138">
      <c r="A138" s="135" t="str">
        <f>IFERROR(__xludf.DUMMYFUNCTION("""COMPUTED_VALUE"""),"M ok")</f>
        <v>M ok</v>
      </c>
      <c r="B138" s="136"/>
    </row>
    <row r="139">
      <c r="A139" s="135" t="str">
        <f>IFERROR(__xludf.DUMMYFUNCTION("""COMPUTED_VALUE"""),"M.  ok")</f>
        <v>M.  ok</v>
      </c>
      <c r="B139" s="136"/>
    </row>
    <row r="140">
      <c r="A140" s="135" t="str">
        <f>IFERROR(__xludf.DUMMYFUNCTION("""COMPUTED_VALUE"""),"M ok")</f>
        <v>M ok</v>
      </c>
      <c r="B140" s="136"/>
    </row>
    <row r="141">
      <c r="A141" s="135" t="str">
        <f>IFERROR(__xludf.DUMMYFUNCTION("""COMPUTED_VALUE"""),"M. ok")</f>
        <v>M. ok</v>
      </c>
      <c r="B141" s="136"/>
    </row>
    <row r="142">
      <c r="A142" s="135" t="str">
        <f>IFERROR(__xludf.DUMMYFUNCTION("""COMPUTED_VALUE"""),"Mme ok")</f>
        <v>Mme ok</v>
      </c>
      <c r="B142" s="136"/>
    </row>
    <row r="143">
      <c r="A143" s="135" t="str">
        <f>IFERROR(__xludf.DUMMYFUNCTION("""COMPUTED_VALUE"""),"M. ok")</f>
        <v>M. ok</v>
      </c>
      <c r="B143" s="136"/>
    </row>
    <row r="144">
      <c r="A144" s="135" t="str">
        <f>IFERROR(__xludf.DUMMYFUNCTION("""COMPUTED_VALUE"""),"M ok")</f>
        <v>M ok</v>
      </c>
      <c r="B144" s="136"/>
    </row>
    <row r="145">
      <c r="A145" s="135" t="str">
        <f>IFERROR(__xludf.DUMMYFUNCTION("""COMPUTED_VALUE"""),"Mme ok")</f>
        <v>Mme ok</v>
      </c>
      <c r="B145" s="136"/>
    </row>
    <row r="146">
      <c r="A146" s="135" t="str">
        <f>IFERROR(__xludf.DUMMYFUNCTION("""COMPUTED_VALUE"""),"M ok")</f>
        <v>M ok</v>
      </c>
      <c r="B146" s="136"/>
    </row>
    <row r="147">
      <c r="A147" s="135" t="str">
        <f>IFERROR(__xludf.DUMMYFUNCTION("""COMPUTED_VALUE"""),"Mme ok")</f>
        <v>Mme ok</v>
      </c>
      <c r="B147" s="136"/>
    </row>
    <row r="148">
      <c r="A148" s="135" t="str">
        <f>IFERROR(__xludf.DUMMYFUNCTION("""COMPUTED_VALUE"""),"Mme ko")</f>
        <v>Mme ko</v>
      </c>
      <c r="B148" s="136"/>
    </row>
    <row r="149">
      <c r="A149" s="135" t="str">
        <f>IFERROR(__xludf.DUMMYFUNCTION("""COMPUTED_VALUE"""),"M. ok")</f>
        <v>M. ok</v>
      </c>
      <c r="B149" s="136"/>
    </row>
    <row r="150">
      <c r="A150" s="135" t="str">
        <f>IFERROR(__xludf.DUMMYFUNCTION("""COMPUTED_VALUE"""),"M ok")</f>
        <v>M ok</v>
      </c>
      <c r="B150" s="136"/>
    </row>
    <row r="151">
      <c r="A151" s="135" t="str">
        <f>IFERROR(__xludf.DUMMYFUNCTION("""COMPUTED_VALUE"""),"M.  ok")</f>
        <v>M.  ok</v>
      </c>
      <c r="B151" s="136"/>
    </row>
    <row r="152">
      <c r="A152" s="135" t="str">
        <f>IFERROR(__xludf.DUMMYFUNCTION("""COMPUTED_VALUE"""),"Mlle  ok")</f>
        <v>Mlle  ok</v>
      </c>
      <c r="B152" s="136"/>
    </row>
    <row r="153">
      <c r="A153" s="135" t="str">
        <f>IFERROR(__xludf.DUMMYFUNCTION("""COMPUTED_VALUE"""),"Mlle ok")</f>
        <v>Mlle ok</v>
      </c>
      <c r="B153" s="136"/>
    </row>
    <row r="154">
      <c r="A154" s="135" t="str">
        <f>IFERROR(__xludf.DUMMYFUNCTION("""COMPUTED_VALUE"""),"M ok")</f>
        <v>M ok</v>
      </c>
      <c r="B154" s="136"/>
    </row>
    <row r="155">
      <c r="A155" s="135" t="str">
        <f>IFERROR(__xludf.DUMMYFUNCTION("""COMPUTED_VALUE"""),"Mme ok")</f>
        <v>Mme ok</v>
      </c>
      <c r="B155" s="136"/>
    </row>
    <row r="156">
      <c r="A156" s="135" t="str">
        <f>IFERROR(__xludf.DUMMYFUNCTION("""COMPUTED_VALUE"""),"M ok")</f>
        <v>M ok</v>
      </c>
      <c r="B156" s="136"/>
    </row>
    <row r="157">
      <c r="A157" s="135" t="str">
        <f>IFERROR(__xludf.DUMMYFUNCTION("""COMPUTED_VALUE"""),"M ok")</f>
        <v>M ok</v>
      </c>
      <c r="B157" s="136"/>
    </row>
    <row r="158">
      <c r="A158" s="135" t="str">
        <f>IFERROR(__xludf.DUMMYFUNCTION("""COMPUTED_VALUE"""),"M. ok")</f>
        <v>M. ok</v>
      </c>
      <c r="B158" s="136"/>
    </row>
    <row r="159">
      <c r="A159" s="135" t="str">
        <f>IFERROR(__xludf.DUMMYFUNCTION("""COMPUTED_VALUE"""),"M ok")</f>
        <v>M ok</v>
      </c>
      <c r="B159" s="136"/>
    </row>
    <row r="160">
      <c r="A160" s="135" t="str">
        <f>IFERROR(__xludf.DUMMYFUNCTION("""COMPUTED_VALUE"""),"M ok")</f>
        <v>M ok</v>
      </c>
      <c r="B160" s="136"/>
    </row>
    <row r="161">
      <c r="A161" s="135" t="str">
        <f>IFERROR(__xludf.DUMMYFUNCTION("""COMPUTED_VALUE"""),"Mme ok")</f>
        <v>Mme ok</v>
      </c>
      <c r="B161" s="136"/>
    </row>
    <row r="162">
      <c r="A162" s="135" t="str">
        <f>IFERROR(__xludf.DUMMYFUNCTION("""COMPUTED_VALUE"""),"Mme ok")</f>
        <v>Mme ok</v>
      </c>
      <c r="B162" s="136"/>
    </row>
    <row r="163">
      <c r="A163" s="135" t="str">
        <f>IFERROR(__xludf.DUMMYFUNCTION("""COMPUTED_VALUE"""),"M ok")</f>
        <v>M ok</v>
      </c>
      <c r="B163" s="136"/>
    </row>
    <row r="164">
      <c r="A164" s="135" t="str">
        <f>IFERROR(__xludf.DUMMYFUNCTION("""COMPUTED_VALUE"""),"M ok")</f>
        <v>M ok</v>
      </c>
      <c r="B164" s="136"/>
    </row>
    <row r="165">
      <c r="A165" s="135" t="str">
        <f>IFERROR(__xludf.DUMMYFUNCTION("""COMPUTED_VALUE"""),"Mme ok")</f>
        <v>Mme ok</v>
      </c>
      <c r="B165" s="136"/>
    </row>
    <row r="166">
      <c r="A166" s="135" t="str">
        <f>IFERROR(__xludf.DUMMYFUNCTION("""COMPUTED_VALUE"""),"M ok")</f>
        <v>M ok</v>
      </c>
      <c r="B166" s="136"/>
    </row>
    <row r="167">
      <c r="A167" s="135" t="str">
        <f>IFERROR(__xludf.DUMMYFUNCTION("""COMPUTED_VALUE"""),"M ok")</f>
        <v>M ok</v>
      </c>
      <c r="B167" s="136"/>
    </row>
    <row r="168">
      <c r="A168" s="135" t="str">
        <f>IFERROR(__xludf.DUMMYFUNCTION("""COMPUTED_VALUE"""),"M ok")</f>
        <v>M ok</v>
      </c>
      <c r="B168" s="136"/>
    </row>
    <row r="169">
      <c r="A169" s="135" t="str">
        <f>IFERROR(__xludf.DUMMYFUNCTION("""COMPUTED_VALUE"""),"M ok")</f>
        <v>M ok</v>
      </c>
      <c r="B169" s="136"/>
    </row>
    <row r="170">
      <c r="A170" s="135" t="str">
        <f>IFERROR(__xludf.DUMMYFUNCTION("""COMPUTED_VALUE"""),"M ok")</f>
        <v>M ok</v>
      </c>
      <c r="B170" s="136"/>
    </row>
    <row r="171">
      <c r="A171" s="135" t="str">
        <f>IFERROR(__xludf.DUMMYFUNCTION("""COMPUTED_VALUE"""),"M ok")</f>
        <v>M ok</v>
      </c>
      <c r="B171" s="136"/>
    </row>
    <row r="172">
      <c r="A172" s="135" t="str">
        <f>IFERROR(__xludf.DUMMYFUNCTION("""COMPUTED_VALUE"""),"M ok")</f>
        <v>M ok</v>
      </c>
      <c r="B172" s="136"/>
    </row>
    <row r="173">
      <c r="A173" s="135" t="str">
        <f>IFERROR(__xludf.DUMMYFUNCTION("""COMPUTED_VALUE"""),"M. ok")</f>
        <v>M. ok</v>
      </c>
      <c r="B173" s="136"/>
    </row>
    <row r="174">
      <c r="A174" s="135" t="str">
        <f>IFERROR(__xludf.DUMMYFUNCTION("""COMPUTED_VALUE"""),"M ok")</f>
        <v>M ok</v>
      </c>
      <c r="B174" s="136"/>
    </row>
    <row r="175">
      <c r="A175" s="135" t="str">
        <f>IFERROR(__xludf.DUMMYFUNCTION("""COMPUTED_VALUE"""),"M ok")</f>
        <v>M ok</v>
      </c>
      <c r="B175" s="136"/>
    </row>
    <row r="176">
      <c r="A176" s="135" t="str">
        <f>IFERROR(__xludf.DUMMYFUNCTION("""COMPUTED_VALUE"""),"M.  ok")</f>
        <v>M.  ok</v>
      </c>
      <c r="B176" s="136"/>
    </row>
    <row r="177">
      <c r="A177" s="135" t="str">
        <f>IFERROR(__xludf.DUMMYFUNCTION("""COMPUTED_VALUE"""),"Mme  ok")</f>
        <v>Mme  ok</v>
      </c>
      <c r="B177" s="136"/>
    </row>
    <row r="178">
      <c r="A178" s="135" t="str">
        <f>IFERROR(__xludf.DUMMYFUNCTION("""COMPUTED_VALUE"""),"M ko")</f>
        <v>M ko</v>
      </c>
      <c r="B178" s="136"/>
    </row>
    <row r="179">
      <c r="A179" s="135" t="str">
        <f>IFERROR(__xludf.DUMMYFUNCTION("""COMPUTED_VALUE"""),"Mme ok")</f>
        <v>Mme ok</v>
      </c>
      <c r="B179" s="136"/>
    </row>
    <row r="180">
      <c r="A180" s="135" t="str">
        <f>IFERROR(__xludf.DUMMYFUNCTION("""COMPUTED_VALUE"""),"Mme ok")</f>
        <v>Mme ok</v>
      </c>
      <c r="B180" s="136"/>
    </row>
    <row r="181">
      <c r="A181" s="135" t="str">
        <f>IFERROR(__xludf.DUMMYFUNCTION("""COMPUTED_VALUE"""),"Mme  ok")</f>
        <v>Mme  ok</v>
      </c>
      <c r="B181" s="136"/>
    </row>
    <row r="182">
      <c r="A182" s="135" t="str">
        <f>IFERROR(__xludf.DUMMYFUNCTION("""COMPUTED_VALUE"""),"M. ok")</f>
        <v>M. ok</v>
      </c>
      <c r="B182" s="136"/>
    </row>
    <row r="183">
      <c r="A183" s="135" t="str">
        <f>IFERROR(__xludf.DUMMYFUNCTION("""COMPUTED_VALUE"""),"M ok")</f>
        <v>M ok</v>
      </c>
      <c r="B183" s="136"/>
    </row>
    <row r="184">
      <c r="A184" s="135" t="str">
        <f>IFERROR(__xludf.DUMMYFUNCTION("""COMPUTED_VALUE"""),"M.  ok")</f>
        <v>M.  ok</v>
      </c>
      <c r="B184" s="136"/>
    </row>
    <row r="185">
      <c r="A185" s="135" t="str">
        <f>IFERROR(__xludf.DUMMYFUNCTION("""COMPUTED_VALUE"""),"M.  ok")</f>
        <v>M.  ok</v>
      </c>
      <c r="B185" s="136"/>
    </row>
    <row r="186">
      <c r="A186" s="135" t="str">
        <f>IFERROR(__xludf.DUMMYFUNCTION("""COMPUTED_VALUE"""),"Mme ok")</f>
        <v>Mme ok</v>
      </c>
      <c r="B186" s="136"/>
    </row>
    <row r="187">
      <c r="A187" s="135" t="str">
        <f>IFERROR(__xludf.DUMMYFUNCTION("""COMPUTED_VALUE"""),"M ok")</f>
        <v>M ok</v>
      </c>
      <c r="B187" s="136"/>
    </row>
    <row r="188">
      <c r="A188" s="135" t="str">
        <f>IFERROR(__xludf.DUMMYFUNCTION("""COMPUTED_VALUE"""),"#VALUE!")</f>
        <v>#VALUE!</v>
      </c>
      <c r="B188" s="136"/>
    </row>
    <row r="189">
      <c r="A189" s="135" t="str">
        <f>IFERROR(__xludf.DUMMYFUNCTION("""COMPUTED_VALUE"""),"M ok")</f>
        <v>M ok</v>
      </c>
      <c r="B189" s="136"/>
    </row>
    <row r="190">
      <c r="A190" s="135" t="str">
        <f>IFERROR(__xludf.DUMMYFUNCTION("""COMPUTED_VALUE"""),"M ok")</f>
        <v>M ok</v>
      </c>
      <c r="B190" s="136"/>
    </row>
    <row r="191">
      <c r="A191" s="135" t="str">
        <f>IFERROR(__xludf.DUMMYFUNCTION("""COMPUTED_VALUE"""),"M ok")</f>
        <v>M ok</v>
      </c>
      <c r="B191" s="136"/>
    </row>
    <row r="192">
      <c r="A192" s="135" t="str">
        <f>IFERROR(__xludf.DUMMYFUNCTION("""COMPUTED_VALUE"""),"M ok")</f>
        <v>M ok</v>
      </c>
      <c r="B192" s="136"/>
    </row>
    <row r="193">
      <c r="A193" s="135" t="str">
        <f>IFERROR(__xludf.DUMMYFUNCTION("""COMPUTED_VALUE"""),"M.  ok")</f>
        <v>M.  ok</v>
      </c>
      <c r="B193" s="136"/>
    </row>
    <row r="194">
      <c r="A194" s="135" t="str">
        <f>IFERROR(__xludf.DUMMYFUNCTION("""COMPUTED_VALUE"""),"M.  ok")</f>
        <v>M.  ok</v>
      </c>
      <c r="B194" s="136"/>
    </row>
    <row r="195">
      <c r="A195" s="135" t="str">
        <f>IFERROR(__xludf.DUMMYFUNCTION("""COMPUTED_VALUE"""),"M ok")</f>
        <v>M ok</v>
      </c>
      <c r="B195" s="136"/>
    </row>
    <row r="196">
      <c r="A196" s="135" t="str">
        <f>IFERROR(__xludf.DUMMYFUNCTION("""COMPUTED_VALUE"""),"M ko")</f>
        <v>M ko</v>
      </c>
      <c r="B196" s="136"/>
    </row>
    <row r="197">
      <c r="A197" s="135" t="str">
        <f>IFERROR(__xludf.DUMMYFUNCTION("""COMPUTED_VALUE"""),"M. ok")</f>
        <v>M. ok</v>
      </c>
      <c r="B197" s="136"/>
    </row>
    <row r="198">
      <c r="A198" s="135" t="str">
        <f>IFERROR(__xludf.DUMMYFUNCTION("""COMPUTED_VALUE"""),"Mme  ok")</f>
        <v>Mme  ok</v>
      </c>
      <c r="B198" s="136"/>
    </row>
    <row r="199">
      <c r="A199" s="135" t="str">
        <f>IFERROR(__xludf.DUMMYFUNCTION("""COMPUTED_VALUE"""),"M. ok")</f>
        <v>M. ok</v>
      </c>
      <c r="B199" s="136"/>
    </row>
    <row r="200">
      <c r="A200" s="135" t="str">
        <f>IFERROR(__xludf.DUMMYFUNCTION("""COMPUTED_VALUE"""),"M ok")</f>
        <v>M ok</v>
      </c>
      <c r="B200" s="136"/>
    </row>
    <row r="201">
      <c r="A201" s="135" t="str">
        <f>IFERROR(__xludf.DUMMYFUNCTION("""COMPUTED_VALUE"""),"M ok")</f>
        <v>M ok</v>
      </c>
      <c r="B201" s="136"/>
    </row>
    <row r="202">
      <c r="A202" s="135" t="str">
        <f>IFERROR(__xludf.DUMMYFUNCTION("""COMPUTED_VALUE"""),"Mme ok")</f>
        <v>Mme ok</v>
      </c>
      <c r="B202" s="136"/>
    </row>
    <row r="203">
      <c r="A203" s="135" t="str">
        <f>IFERROR(__xludf.DUMMYFUNCTION("""COMPUTED_VALUE"""),"Mme ok")</f>
        <v>Mme ok</v>
      </c>
      <c r="B203" s="136"/>
    </row>
    <row r="204">
      <c r="A204" s="135" t="str">
        <f>IFERROR(__xludf.DUMMYFUNCTION("""COMPUTED_VALUE"""),"Mme  ok")</f>
        <v>Mme  ok</v>
      </c>
      <c r="B204" s="136"/>
    </row>
    <row r="205">
      <c r="A205" s="135" t="str">
        <f>IFERROR(__xludf.DUMMYFUNCTION("""COMPUTED_VALUE"""),"Mme ok")</f>
        <v>Mme ok</v>
      </c>
      <c r="B205" s="136"/>
    </row>
    <row r="206">
      <c r="A206" s="135" t="str">
        <f>IFERROR(__xludf.DUMMYFUNCTION("""COMPUTED_VALUE"""),"#VALUE!")</f>
        <v>#VALUE!</v>
      </c>
      <c r="B206" s="136"/>
    </row>
    <row r="207">
      <c r="A207" s="135" t="str">
        <f>IFERROR(__xludf.DUMMYFUNCTION("""COMPUTED_VALUE"""),"M ok")</f>
        <v>M ok</v>
      </c>
      <c r="B207" s="136"/>
    </row>
    <row r="208">
      <c r="A208" s="135" t="str">
        <f>IFERROR(__xludf.DUMMYFUNCTION("""COMPUTED_VALUE"""),"Mme  ok")</f>
        <v>Mme  ok</v>
      </c>
      <c r="B208" s="136"/>
    </row>
    <row r="209">
      <c r="A209" s="135" t="str">
        <f>IFERROR(__xludf.DUMMYFUNCTION("""COMPUTED_VALUE"""),"M.  ok")</f>
        <v>M.  ok</v>
      </c>
      <c r="B209" s="136"/>
    </row>
    <row r="210">
      <c r="A210" s="135" t="str">
        <f>IFERROR(__xludf.DUMMYFUNCTION("""COMPUTED_VALUE"""),"Mme  ok")</f>
        <v>Mme  ok</v>
      </c>
      <c r="B210" s="136"/>
    </row>
    <row r="211">
      <c r="A211" s="135" t="str">
        <f>IFERROR(__xludf.DUMMYFUNCTION("""COMPUTED_VALUE"""),"M ok")</f>
        <v>M ok</v>
      </c>
      <c r="B211" s="136"/>
    </row>
    <row r="212">
      <c r="A212" s="135" t="str">
        <f>IFERROR(__xludf.DUMMYFUNCTION("""COMPUTED_VALUE"""),"Mme  ok")</f>
        <v>Mme  ok</v>
      </c>
      <c r="B212" s="136"/>
    </row>
    <row r="213">
      <c r="A213" s="135" t="str">
        <f>IFERROR(__xludf.DUMMYFUNCTION("""COMPUTED_VALUE"""),"M.  ok")</f>
        <v>M.  ok</v>
      </c>
      <c r="B213" s="136"/>
    </row>
    <row r="214">
      <c r="A214" s="135" t="str">
        <f>IFERROR(__xludf.DUMMYFUNCTION("""COMPUTED_VALUE"""),"M.  ok")</f>
        <v>M.  ok</v>
      </c>
      <c r="B214" s="136"/>
    </row>
    <row r="215">
      <c r="A215" s="135" t="str">
        <f>IFERROR(__xludf.DUMMYFUNCTION("""COMPUTED_VALUE"""),"Mme ok")</f>
        <v>Mme ok</v>
      </c>
      <c r="B215" s="136"/>
    </row>
    <row r="216">
      <c r="A216" s="135" t="str">
        <f>IFERROR(__xludf.DUMMYFUNCTION("""COMPUTED_VALUE"""),"Mme ok")</f>
        <v>Mme ok</v>
      </c>
      <c r="B216" s="136"/>
    </row>
    <row r="217">
      <c r="A217" s="135" t="str">
        <f>IFERROR(__xludf.DUMMYFUNCTION("""COMPUTED_VALUE"""),"M ok")</f>
        <v>M ok</v>
      </c>
      <c r="B217" s="136"/>
    </row>
    <row r="218">
      <c r="A218" s="135" t="str">
        <f>IFERROR(__xludf.DUMMYFUNCTION("""COMPUTED_VALUE"""),"M ok")</f>
        <v>M ok</v>
      </c>
      <c r="B218" s="136"/>
    </row>
    <row r="219">
      <c r="A219" s="135" t="str">
        <f>IFERROR(__xludf.DUMMYFUNCTION("""COMPUTED_VALUE"""),"Mme ok")</f>
        <v>Mme ok</v>
      </c>
      <c r="B219" s="136"/>
    </row>
    <row r="220">
      <c r="A220" s="135" t="str">
        <f>IFERROR(__xludf.DUMMYFUNCTION("""COMPUTED_VALUE"""),"M ok")</f>
        <v>M ok</v>
      </c>
      <c r="B220" s="136"/>
    </row>
    <row r="221">
      <c r="A221" s="135" t="str">
        <f>IFERROR(__xludf.DUMMYFUNCTION("""COMPUTED_VALUE"""),"M ok")</f>
        <v>M ok</v>
      </c>
      <c r="B221" s="136"/>
    </row>
    <row r="222">
      <c r="A222" s="135" t="str">
        <f>IFERROR(__xludf.DUMMYFUNCTION("""COMPUTED_VALUE"""),"Mlle ok")</f>
        <v>Mlle ok</v>
      </c>
      <c r="B222" s="136"/>
    </row>
    <row r="223">
      <c r="A223" s="135" t="str">
        <f>IFERROR(__xludf.DUMMYFUNCTION("""COMPUTED_VALUE"""),"M.  ok")</f>
        <v>M.  ok</v>
      </c>
      <c r="B223" s="136"/>
    </row>
    <row r="224">
      <c r="A224" s="135" t="str">
        <f>IFERROR(__xludf.DUMMYFUNCTION("""COMPUTED_VALUE"""),"Mme ok")</f>
        <v>Mme ok</v>
      </c>
      <c r="B224" s="136"/>
    </row>
    <row r="225">
      <c r="A225" s="135" t="str">
        <f>IFERROR(__xludf.DUMMYFUNCTION("""COMPUTED_VALUE"""),"Mme ok")</f>
        <v>Mme ok</v>
      </c>
      <c r="B225" s="136"/>
    </row>
    <row r="226">
      <c r="A226" s="135" t="str">
        <f>IFERROR(__xludf.DUMMYFUNCTION("""COMPUTED_VALUE"""),"Mme ok")</f>
        <v>Mme ok</v>
      </c>
      <c r="B226" s="136"/>
    </row>
    <row r="227">
      <c r="A227" s="135" t="str">
        <f>IFERROR(__xludf.DUMMYFUNCTION("""COMPUTED_VALUE"""),"Mme ok")</f>
        <v>Mme ok</v>
      </c>
      <c r="B227" s="136"/>
    </row>
    <row r="228">
      <c r="A228" s="135" t="str">
        <f>IFERROR(__xludf.DUMMYFUNCTION("""COMPUTED_VALUE"""),"M.  ok")</f>
        <v>M.  ok</v>
      </c>
      <c r="B228" s="136"/>
    </row>
    <row r="229">
      <c r="A229" s="135" t="str">
        <f>IFERROR(__xludf.DUMMYFUNCTION("""COMPUTED_VALUE"""),"M.  ok")</f>
        <v>M.  ok</v>
      </c>
      <c r="B229" s="136"/>
    </row>
    <row r="230">
      <c r="A230" s="135" t="str">
        <f>IFERROR(__xludf.DUMMYFUNCTION("""COMPUTED_VALUE"""),"M.  ok")</f>
        <v>M.  ok</v>
      </c>
      <c r="B230" s="136"/>
    </row>
    <row r="231">
      <c r="A231" s="135" t="str">
        <f>IFERROR(__xludf.DUMMYFUNCTION("""COMPUTED_VALUE"""),"M ok")</f>
        <v>M ok</v>
      </c>
      <c r="B231" s="136"/>
    </row>
    <row r="232">
      <c r="A232" s="135" t="str">
        <f>IFERROR(__xludf.DUMMYFUNCTION("""COMPUTED_VALUE"""),"M ok")</f>
        <v>M ok</v>
      </c>
      <c r="B232" s="136"/>
    </row>
    <row r="233">
      <c r="A233" s="135" t="str">
        <f>IFERROR(__xludf.DUMMYFUNCTION("""COMPUTED_VALUE"""),"M ok")</f>
        <v>M ok</v>
      </c>
      <c r="B233" s="136"/>
    </row>
    <row r="234">
      <c r="A234" s="135" t="str">
        <f>IFERROR(__xludf.DUMMYFUNCTION("""COMPUTED_VALUE"""),"M.  ok")</f>
        <v>M.  ok</v>
      </c>
      <c r="B234" s="136"/>
    </row>
    <row r="235">
      <c r="A235" s="135" t="str">
        <f>IFERROR(__xludf.DUMMYFUNCTION("""COMPUTED_VALUE"""),"M ok")</f>
        <v>M ok</v>
      </c>
      <c r="B235" s="136"/>
    </row>
    <row r="236">
      <c r="A236" s="135" t="str">
        <f>IFERROR(__xludf.DUMMYFUNCTION("""COMPUTED_VALUE"""),"Mme  ok")</f>
        <v>Mme  ok</v>
      </c>
      <c r="B236" s="136"/>
    </row>
    <row r="237">
      <c r="A237" s="135" t="str">
        <f>IFERROR(__xludf.DUMMYFUNCTION("""COMPUTED_VALUE"""),"M ok")</f>
        <v>M ok</v>
      </c>
      <c r="B237" s="136"/>
    </row>
    <row r="238">
      <c r="A238" s="135" t="str">
        <f>IFERROR(__xludf.DUMMYFUNCTION("""COMPUTED_VALUE"""),"Mme ok")</f>
        <v>Mme ok</v>
      </c>
      <c r="B238" s="136"/>
    </row>
    <row r="239">
      <c r="A239" s="135" t="str">
        <f>IFERROR(__xludf.DUMMYFUNCTION("""COMPUTED_VALUE"""),"Mme ok")</f>
        <v>Mme ok</v>
      </c>
      <c r="B239" s="136"/>
    </row>
    <row r="240">
      <c r="A240" s="135" t="str">
        <f>IFERROR(__xludf.DUMMYFUNCTION("""COMPUTED_VALUE"""),"M ok")</f>
        <v>M ok</v>
      </c>
      <c r="B240" s="136"/>
    </row>
    <row r="241">
      <c r="A241" s="135" t="str">
        <f>IFERROR(__xludf.DUMMYFUNCTION("""COMPUTED_VALUE""")," ko")</f>
        <v> ko</v>
      </c>
      <c r="B241" s="136"/>
    </row>
    <row r="242">
      <c r="A242" s="135" t="str">
        <f>IFERROR(__xludf.DUMMYFUNCTION("""COMPUTED_VALUE""")," ko")</f>
        <v> ko</v>
      </c>
      <c r="B242" s="136"/>
    </row>
    <row r="243">
      <c r="A243" s="135" t="str">
        <f>IFERROR(__xludf.DUMMYFUNCTION("""COMPUTED_VALUE""")," ko")</f>
        <v> ko</v>
      </c>
      <c r="B243" s="136"/>
    </row>
    <row r="244">
      <c r="A244" s="135" t="str">
        <f>IFERROR(__xludf.DUMMYFUNCTION("""COMPUTED_VALUE""")," ko")</f>
        <v> ko</v>
      </c>
      <c r="B244" s="136"/>
    </row>
    <row r="245">
      <c r="A245" s="135" t="str">
        <f>IFERROR(__xludf.DUMMYFUNCTION("""COMPUTED_VALUE""")," ko")</f>
        <v> ko</v>
      </c>
      <c r="B245" s="136"/>
    </row>
    <row r="246">
      <c r="A246" s="135" t="str">
        <f>IFERROR(__xludf.DUMMYFUNCTION("""COMPUTED_VALUE""")," ko")</f>
        <v> ko</v>
      </c>
      <c r="B246" s="136"/>
    </row>
    <row r="247">
      <c r="A247" s="136" t="str">
        <f>IFERROR(__xludf.DUMMYFUNCTION("""COMPUTED_VALUE""")," ko")</f>
        <v> ko</v>
      </c>
      <c r="B247" s="136"/>
    </row>
    <row r="248">
      <c r="A248" s="136" t="str">
        <f>IFERROR(__xludf.DUMMYFUNCTION("""COMPUTED_VALUE""")," ko")</f>
        <v> ko</v>
      </c>
      <c r="B248" s="136"/>
    </row>
    <row r="249">
      <c r="A249" s="136" t="str">
        <f>IFERROR(__xludf.DUMMYFUNCTION("""COMPUTED_VALUE""")," ko")</f>
        <v> ko</v>
      </c>
      <c r="B249" s="136"/>
    </row>
    <row r="250">
      <c r="A250" s="136" t="str">
        <f>IFERROR(__xludf.DUMMYFUNCTION("""COMPUTED_VALUE""")," ko")</f>
        <v> ko</v>
      </c>
      <c r="B250" s="136"/>
    </row>
    <row r="251">
      <c r="A251" s="136" t="str">
        <f>IFERROR(__xludf.DUMMYFUNCTION("""COMPUTED_VALUE""")," ko")</f>
        <v> ko</v>
      </c>
      <c r="B251" s="136"/>
    </row>
    <row r="252">
      <c r="A252" s="136" t="str">
        <f>IFERROR(__xludf.DUMMYFUNCTION("""COMPUTED_VALUE""")," ko")</f>
        <v> ko</v>
      </c>
      <c r="B252" s="136"/>
    </row>
    <row r="253">
      <c r="A253" s="136" t="str">
        <f>IFERROR(__xludf.DUMMYFUNCTION("""COMPUTED_VALUE""")," ko")</f>
        <v> ko</v>
      </c>
      <c r="B253" s="136"/>
    </row>
    <row r="254">
      <c r="A254" s="136" t="str">
        <f>IFERROR(__xludf.DUMMYFUNCTION("""COMPUTED_VALUE""")," ko")</f>
        <v> ko</v>
      </c>
      <c r="B254" s="136"/>
    </row>
    <row r="255">
      <c r="A255" s="136" t="str">
        <f>IFERROR(__xludf.DUMMYFUNCTION("""COMPUTED_VALUE""")," ko")</f>
        <v> ko</v>
      </c>
      <c r="B255" s="136"/>
    </row>
    <row r="256">
      <c r="A256" s="136" t="str">
        <f>IFERROR(__xludf.DUMMYFUNCTION("""COMPUTED_VALUE""")," ko")</f>
        <v> ko</v>
      </c>
      <c r="B256" s="136"/>
    </row>
    <row r="257">
      <c r="A257" s="136" t="str">
        <f>IFERROR(__xludf.DUMMYFUNCTION("""COMPUTED_VALUE""")," ko")</f>
        <v> ko</v>
      </c>
      <c r="B257" s="136"/>
    </row>
    <row r="258">
      <c r="A258" s="136" t="str">
        <f>IFERROR(__xludf.DUMMYFUNCTION("""COMPUTED_VALUE""")," ko")</f>
        <v> ko</v>
      </c>
      <c r="B258" s="136"/>
    </row>
    <row r="259">
      <c r="A259" s="136" t="str">
        <f>IFERROR(__xludf.DUMMYFUNCTION("""COMPUTED_VALUE""")," ko")</f>
        <v> ko</v>
      </c>
      <c r="B259" s="136"/>
    </row>
    <row r="260">
      <c r="A260" s="136" t="str">
        <f>IFERROR(__xludf.DUMMYFUNCTION("""COMPUTED_VALUE""")," ko")</f>
        <v> ko</v>
      </c>
      <c r="B260" s="136"/>
    </row>
    <row r="261">
      <c r="A261" s="136" t="str">
        <f>IFERROR(__xludf.DUMMYFUNCTION("""COMPUTED_VALUE""")," ko")</f>
        <v> ko</v>
      </c>
      <c r="B261" s="136"/>
    </row>
    <row r="262">
      <c r="A262" s="136" t="str">
        <f>IFERROR(__xludf.DUMMYFUNCTION("""COMPUTED_VALUE""")," ko")</f>
        <v> ko</v>
      </c>
      <c r="B262" s="136"/>
    </row>
    <row r="263">
      <c r="A263" s="136" t="str">
        <f>IFERROR(__xludf.DUMMYFUNCTION("""COMPUTED_VALUE""")," ko")</f>
        <v> ko</v>
      </c>
      <c r="B263" s="136"/>
    </row>
    <row r="264">
      <c r="A264" s="136" t="str">
        <f>IFERROR(__xludf.DUMMYFUNCTION("""COMPUTED_VALUE""")," ko")</f>
        <v> ko</v>
      </c>
      <c r="B264" s="136"/>
    </row>
    <row r="265">
      <c r="A265" s="136" t="str">
        <f>IFERROR(__xludf.DUMMYFUNCTION("""COMPUTED_VALUE""")," ko")</f>
        <v> ko</v>
      </c>
      <c r="B265" s="136"/>
    </row>
    <row r="266">
      <c r="A266" s="136" t="str">
        <f>IFERROR(__xludf.DUMMYFUNCTION("""COMPUTED_VALUE""")," ko")</f>
        <v> ko</v>
      </c>
      <c r="B266" s="136"/>
    </row>
    <row r="267">
      <c r="A267" s="136" t="str">
        <f>IFERROR(__xludf.DUMMYFUNCTION("""COMPUTED_VALUE""")," ko")</f>
        <v> ko</v>
      </c>
      <c r="B267" s="136"/>
    </row>
    <row r="268">
      <c r="A268" s="136" t="str">
        <f>IFERROR(__xludf.DUMMYFUNCTION("""COMPUTED_VALUE""")," ko")</f>
        <v> ko</v>
      </c>
      <c r="B268" s="136"/>
    </row>
    <row r="269">
      <c r="A269" s="136" t="str">
        <f>IFERROR(__xludf.DUMMYFUNCTION("""COMPUTED_VALUE""")," ko")</f>
        <v> ko</v>
      </c>
      <c r="B269" s="136"/>
    </row>
    <row r="270">
      <c r="A270" s="136" t="str">
        <f>IFERROR(__xludf.DUMMYFUNCTION("""COMPUTED_VALUE""")," ko")</f>
        <v> ko</v>
      </c>
      <c r="B270" s="136"/>
    </row>
    <row r="271">
      <c r="A271" s="136" t="str">
        <f>IFERROR(__xludf.DUMMYFUNCTION("""COMPUTED_VALUE""")," ko")</f>
        <v> ko</v>
      </c>
      <c r="B271" s="136"/>
    </row>
    <row r="272">
      <c r="A272" s="136" t="str">
        <f>IFERROR(__xludf.DUMMYFUNCTION("""COMPUTED_VALUE""")," ko")</f>
        <v> ko</v>
      </c>
      <c r="B272" s="136"/>
    </row>
    <row r="273">
      <c r="A273" s="136" t="str">
        <f>IFERROR(__xludf.DUMMYFUNCTION("""COMPUTED_VALUE""")," ko")</f>
        <v> ko</v>
      </c>
      <c r="B273" s="136"/>
    </row>
    <row r="274">
      <c r="A274" s="136" t="str">
        <f>IFERROR(__xludf.DUMMYFUNCTION("""COMPUTED_VALUE""")," ko")</f>
        <v> ko</v>
      </c>
      <c r="B274" s="136"/>
    </row>
    <row r="275">
      <c r="A275" s="136" t="str">
        <f>IFERROR(__xludf.DUMMYFUNCTION("""COMPUTED_VALUE""")," ko")</f>
        <v> ko</v>
      </c>
      <c r="B275" s="136"/>
    </row>
    <row r="276">
      <c r="A276" s="136" t="str">
        <f>IFERROR(__xludf.DUMMYFUNCTION("""COMPUTED_VALUE""")," ko")</f>
        <v> ko</v>
      </c>
      <c r="B276" s="136"/>
    </row>
    <row r="277">
      <c r="A277" s="136" t="str">
        <f>IFERROR(__xludf.DUMMYFUNCTION("""COMPUTED_VALUE""")," ko")</f>
        <v> ko</v>
      </c>
      <c r="B277" s="136"/>
    </row>
    <row r="278">
      <c r="A278" s="136" t="str">
        <f>IFERROR(__xludf.DUMMYFUNCTION("""COMPUTED_VALUE""")," ko")</f>
        <v> ko</v>
      </c>
      <c r="B278" s="136"/>
    </row>
    <row r="279">
      <c r="A279" s="136" t="str">
        <f>IFERROR(__xludf.DUMMYFUNCTION("""COMPUTED_VALUE""")," ko")</f>
        <v> ko</v>
      </c>
      <c r="B279" s="136"/>
    </row>
    <row r="280">
      <c r="A280" s="136" t="str">
        <f>IFERROR(__xludf.DUMMYFUNCTION("""COMPUTED_VALUE""")," ko")</f>
        <v> ko</v>
      </c>
      <c r="B280" s="136"/>
    </row>
    <row r="281">
      <c r="A281" s="136" t="str">
        <f>IFERROR(__xludf.DUMMYFUNCTION("""COMPUTED_VALUE""")," ko")</f>
        <v> ko</v>
      </c>
      <c r="B281" s="136"/>
    </row>
    <row r="282">
      <c r="A282" s="136" t="str">
        <f>IFERROR(__xludf.DUMMYFUNCTION("""COMPUTED_VALUE""")," ko")</f>
        <v> ko</v>
      </c>
      <c r="B282" s="136"/>
    </row>
    <row r="283">
      <c r="A283" s="136" t="str">
        <f>IFERROR(__xludf.DUMMYFUNCTION("""COMPUTED_VALUE""")," ko")</f>
        <v> ko</v>
      </c>
      <c r="B283" s="136"/>
    </row>
    <row r="284">
      <c r="A284" s="136" t="str">
        <f>IFERROR(__xludf.DUMMYFUNCTION("""COMPUTED_VALUE""")," ko")</f>
        <v> ko</v>
      </c>
      <c r="B284" s="136"/>
    </row>
    <row r="285">
      <c r="A285" s="136" t="str">
        <f>IFERROR(__xludf.DUMMYFUNCTION("""COMPUTED_VALUE""")," ko")</f>
        <v> ko</v>
      </c>
      <c r="B285" s="136"/>
    </row>
    <row r="286">
      <c r="A286" s="136" t="str">
        <f>IFERROR(__xludf.DUMMYFUNCTION("""COMPUTED_VALUE""")," ko")</f>
        <v> ko</v>
      </c>
      <c r="B286" s="136"/>
    </row>
    <row r="287">
      <c r="A287" s="136" t="str">
        <f>IFERROR(__xludf.DUMMYFUNCTION("""COMPUTED_VALUE""")," ko")</f>
        <v> ko</v>
      </c>
      <c r="B287" s="136"/>
    </row>
    <row r="288">
      <c r="A288" s="136" t="str">
        <f>IFERROR(__xludf.DUMMYFUNCTION("""COMPUTED_VALUE""")," ko")</f>
        <v> ko</v>
      </c>
      <c r="B288" s="136"/>
    </row>
    <row r="289">
      <c r="A289" s="136" t="str">
        <f>IFERROR(__xludf.DUMMYFUNCTION("""COMPUTED_VALUE""")," ko")</f>
        <v> ko</v>
      </c>
      <c r="B289" s="136"/>
    </row>
    <row r="290">
      <c r="A290" s="136" t="str">
        <f>IFERROR(__xludf.DUMMYFUNCTION("""COMPUTED_VALUE""")," ko")</f>
        <v> ko</v>
      </c>
      <c r="B290" s="136"/>
    </row>
    <row r="291">
      <c r="A291" s="136" t="str">
        <f>IFERROR(__xludf.DUMMYFUNCTION("""COMPUTED_VALUE""")," ko")</f>
        <v> ko</v>
      </c>
      <c r="B291" s="136"/>
    </row>
    <row r="292">
      <c r="A292" s="136" t="str">
        <f>IFERROR(__xludf.DUMMYFUNCTION("""COMPUTED_VALUE""")," ko")</f>
        <v> ko</v>
      </c>
      <c r="B292" s="136"/>
    </row>
    <row r="293">
      <c r="A293" s="136" t="str">
        <f>IFERROR(__xludf.DUMMYFUNCTION("""COMPUTED_VALUE""")," ko")</f>
        <v> ko</v>
      </c>
      <c r="B293" s="136"/>
    </row>
    <row r="294">
      <c r="A294" s="136" t="str">
        <f>IFERROR(__xludf.DUMMYFUNCTION("""COMPUTED_VALUE""")," ko")</f>
        <v> ko</v>
      </c>
      <c r="B294" s="136"/>
    </row>
    <row r="295">
      <c r="A295" s="136" t="str">
        <f>IFERROR(__xludf.DUMMYFUNCTION("""COMPUTED_VALUE""")," ko")</f>
        <v> ko</v>
      </c>
      <c r="B295" s="136"/>
    </row>
    <row r="296">
      <c r="A296" s="136" t="str">
        <f>IFERROR(__xludf.DUMMYFUNCTION("""COMPUTED_VALUE""")," ko")</f>
        <v> ko</v>
      </c>
      <c r="B296" s="136"/>
    </row>
    <row r="297">
      <c r="A297" s="136" t="str">
        <f>IFERROR(__xludf.DUMMYFUNCTION("""COMPUTED_VALUE""")," ko")</f>
        <v> ko</v>
      </c>
      <c r="B297" s="136"/>
    </row>
    <row r="298">
      <c r="A298" s="136" t="str">
        <f>IFERROR(__xludf.DUMMYFUNCTION("""COMPUTED_VALUE""")," ko")</f>
        <v> ko</v>
      </c>
      <c r="B298" s="136"/>
    </row>
    <row r="299">
      <c r="A299" s="136" t="str">
        <f>IFERROR(__xludf.DUMMYFUNCTION("""COMPUTED_VALUE""")," ko")</f>
        <v> ko</v>
      </c>
      <c r="B299" s="136"/>
    </row>
    <row r="300">
      <c r="A300" s="136" t="str">
        <f>IFERROR(__xludf.DUMMYFUNCTION("""COMPUTED_VALUE""")," ko")</f>
        <v> ko</v>
      </c>
      <c r="B300" s="136"/>
    </row>
    <row r="301">
      <c r="A301" s="136" t="str">
        <f>IFERROR(__xludf.DUMMYFUNCTION("""COMPUTED_VALUE""")," ko")</f>
        <v> ko</v>
      </c>
      <c r="B301" s="136"/>
    </row>
    <row r="302">
      <c r="A302" s="136" t="str">
        <f>IFERROR(__xludf.DUMMYFUNCTION("""COMPUTED_VALUE""")," ko")</f>
        <v> ko</v>
      </c>
      <c r="B302" s="136"/>
    </row>
    <row r="303">
      <c r="A303" s="136" t="str">
        <f>IFERROR(__xludf.DUMMYFUNCTION("""COMPUTED_VALUE""")," ko")</f>
        <v> ko</v>
      </c>
      <c r="B303" s="136"/>
    </row>
    <row r="304">
      <c r="A304" s="136" t="str">
        <f>IFERROR(__xludf.DUMMYFUNCTION("""COMPUTED_VALUE""")," ko")</f>
        <v> ko</v>
      </c>
      <c r="B304" s="136"/>
    </row>
    <row r="305">
      <c r="A305" s="136" t="str">
        <f>IFERROR(__xludf.DUMMYFUNCTION("""COMPUTED_VALUE""")," ko")</f>
        <v> ko</v>
      </c>
      <c r="B305" s="136"/>
    </row>
    <row r="306">
      <c r="A306" s="136" t="str">
        <f>IFERROR(__xludf.DUMMYFUNCTION("""COMPUTED_VALUE""")," ko")</f>
        <v> ko</v>
      </c>
      <c r="B306" s="136"/>
    </row>
    <row r="307">
      <c r="A307" s="136" t="str">
        <f>IFERROR(__xludf.DUMMYFUNCTION("""COMPUTED_VALUE""")," ko")</f>
        <v> ko</v>
      </c>
      <c r="B307" s="136"/>
    </row>
    <row r="308">
      <c r="A308" s="136" t="str">
        <f>IFERROR(__xludf.DUMMYFUNCTION("""COMPUTED_VALUE""")," ko")</f>
        <v> ko</v>
      </c>
      <c r="B308" s="136"/>
    </row>
    <row r="309">
      <c r="A309" s="136" t="str">
        <f>IFERROR(__xludf.DUMMYFUNCTION("""COMPUTED_VALUE""")," ko")</f>
        <v> ko</v>
      </c>
      <c r="B309" s="136"/>
    </row>
    <row r="310">
      <c r="A310" s="136" t="str">
        <f>IFERROR(__xludf.DUMMYFUNCTION("""COMPUTED_VALUE""")," ko")</f>
        <v> ko</v>
      </c>
      <c r="B310" s="136"/>
    </row>
    <row r="311">
      <c r="A311" s="136" t="str">
        <f>IFERROR(__xludf.DUMMYFUNCTION("""COMPUTED_VALUE""")," ko")</f>
        <v> ko</v>
      </c>
      <c r="B311" s="136"/>
    </row>
    <row r="312">
      <c r="A312" s="136" t="str">
        <f>IFERROR(__xludf.DUMMYFUNCTION("""COMPUTED_VALUE""")," ko")</f>
        <v> ko</v>
      </c>
      <c r="B312" s="136"/>
    </row>
    <row r="313">
      <c r="A313" s="136" t="str">
        <f>IFERROR(__xludf.DUMMYFUNCTION("""COMPUTED_VALUE""")," ko")</f>
        <v> ko</v>
      </c>
      <c r="B313" s="136"/>
    </row>
    <row r="314">
      <c r="A314" s="136" t="str">
        <f>IFERROR(__xludf.DUMMYFUNCTION("""COMPUTED_VALUE""")," ko")</f>
        <v> ko</v>
      </c>
      <c r="B314" s="136"/>
    </row>
    <row r="315">
      <c r="A315" s="136" t="str">
        <f>IFERROR(__xludf.DUMMYFUNCTION("""COMPUTED_VALUE""")," ko")</f>
        <v> ko</v>
      </c>
      <c r="B315" s="136"/>
    </row>
    <row r="316">
      <c r="A316" s="136" t="str">
        <f>IFERROR(__xludf.DUMMYFUNCTION("""COMPUTED_VALUE""")," ko")</f>
        <v> ko</v>
      </c>
      <c r="B316" s="136"/>
    </row>
    <row r="317">
      <c r="A317" s="136" t="str">
        <f>IFERROR(__xludf.DUMMYFUNCTION("""COMPUTED_VALUE""")," ko")</f>
        <v> ko</v>
      </c>
      <c r="B317" s="136"/>
    </row>
    <row r="318">
      <c r="A318" s="136" t="str">
        <f>IFERROR(__xludf.DUMMYFUNCTION("""COMPUTED_VALUE""")," ko")</f>
        <v> ko</v>
      </c>
      <c r="B318" s="136"/>
    </row>
    <row r="319">
      <c r="A319" s="136" t="str">
        <f>IFERROR(__xludf.DUMMYFUNCTION("""COMPUTED_VALUE""")," ko")</f>
        <v> ko</v>
      </c>
      <c r="B319" s="136"/>
    </row>
    <row r="320">
      <c r="A320" s="136" t="str">
        <f>IFERROR(__xludf.DUMMYFUNCTION("""COMPUTED_VALUE""")," ko")</f>
        <v> ko</v>
      </c>
      <c r="B320" s="136"/>
    </row>
    <row r="321">
      <c r="A321" s="136" t="str">
        <f>IFERROR(__xludf.DUMMYFUNCTION("""COMPUTED_VALUE""")," ko")</f>
        <v> ko</v>
      </c>
      <c r="B321" s="136"/>
    </row>
    <row r="322">
      <c r="A322" s="136" t="str">
        <f>IFERROR(__xludf.DUMMYFUNCTION("""COMPUTED_VALUE""")," ko")</f>
        <v> ko</v>
      </c>
      <c r="B322" s="136"/>
    </row>
    <row r="323">
      <c r="A323" s="136" t="str">
        <f>IFERROR(__xludf.DUMMYFUNCTION("""COMPUTED_VALUE""")," ko")</f>
        <v> ko</v>
      </c>
      <c r="B323" s="136"/>
    </row>
    <row r="324">
      <c r="A324" s="136" t="str">
        <f>IFERROR(__xludf.DUMMYFUNCTION("""COMPUTED_VALUE""")," ko")</f>
        <v> ko</v>
      </c>
      <c r="B324" s="136"/>
    </row>
    <row r="325">
      <c r="A325" s="136" t="str">
        <f>IFERROR(__xludf.DUMMYFUNCTION("""COMPUTED_VALUE""")," ko")</f>
        <v> ko</v>
      </c>
      <c r="B325" s="136"/>
    </row>
    <row r="326">
      <c r="A326" s="136" t="str">
        <f>IFERROR(__xludf.DUMMYFUNCTION("""COMPUTED_VALUE""")," ko")</f>
        <v> ko</v>
      </c>
      <c r="B326" s="136"/>
    </row>
    <row r="327">
      <c r="A327" s="136" t="str">
        <f>IFERROR(__xludf.DUMMYFUNCTION("""COMPUTED_VALUE""")," ko")</f>
        <v> ko</v>
      </c>
      <c r="B327" s="136"/>
    </row>
    <row r="328">
      <c r="A328" s="136" t="str">
        <f>IFERROR(__xludf.DUMMYFUNCTION("""COMPUTED_VALUE""")," ko")</f>
        <v> ko</v>
      </c>
      <c r="B328" s="136"/>
    </row>
    <row r="329">
      <c r="A329" s="136" t="str">
        <f>IFERROR(__xludf.DUMMYFUNCTION("""COMPUTED_VALUE""")," ko")</f>
        <v> ko</v>
      </c>
      <c r="B329" s="136"/>
    </row>
    <row r="330">
      <c r="A330" s="136" t="str">
        <f>IFERROR(__xludf.DUMMYFUNCTION("""COMPUTED_VALUE""")," ko")</f>
        <v> ko</v>
      </c>
      <c r="B330" s="136"/>
    </row>
    <row r="331">
      <c r="A331" s="136" t="str">
        <f>IFERROR(__xludf.DUMMYFUNCTION("""COMPUTED_VALUE""")," ko")</f>
        <v> ko</v>
      </c>
      <c r="B331" s="136"/>
    </row>
    <row r="332">
      <c r="A332" s="136" t="str">
        <f>IFERROR(__xludf.DUMMYFUNCTION("""COMPUTED_VALUE""")," ko")</f>
        <v> ko</v>
      </c>
      <c r="B332" s="136"/>
    </row>
    <row r="333">
      <c r="A333" s="136" t="str">
        <f>IFERROR(__xludf.DUMMYFUNCTION("""COMPUTED_VALUE""")," ko")</f>
        <v> ko</v>
      </c>
      <c r="B333" s="136"/>
    </row>
    <row r="334">
      <c r="A334" s="136" t="str">
        <f>IFERROR(__xludf.DUMMYFUNCTION("""COMPUTED_VALUE""")," ko")</f>
        <v> ko</v>
      </c>
      <c r="B334" s="136"/>
    </row>
    <row r="335">
      <c r="A335" s="136" t="str">
        <f>IFERROR(__xludf.DUMMYFUNCTION("""COMPUTED_VALUE""")," ko")</f>
        <v> ko</v>
      </c>
      <c r="B335" s="136"/>
    </row>
    <row r="336">
      <c r="A336" s="136" t="str">
        <f>IFERROR(__xludf.DUMMYFUNCTION("""COMPUTED_VALUE""")," ko")</f>
        <v> ko</v>
      </c>
      <c r="B336" s="136"/>
    </row>
    <row r="337">
      <c r="A337" s="136" t="str">
        <f>IFERROR(__xludf.DUMMYFUNCTION("""COMPUTED_VALUE""")," ko")</f>
        <v> ko</v>
      </c>
      <c r="B337" s="136"/>
    </row>
    <row r="338">
      <c r="A338" s="136" t="str">
        <f>IFERROR(__xludf.DUMMYFUNCTION("""COMPUTED_VALUE""")," ko")</f>
        <v> ko</v>
      </c>
      <c r="B338" s="136"/>
    </row>
    <row r="339">
      <c r="A339" s="136" t="str">
        <f>IFERROR(__xludf.DUMMYFUNCTION("""COMPUTED_VALUE""")," ko")</f>
        <v> ko</v>
      </c>
      <c r="B339" s="136"/>
    </row>
    <row r="340">
      <c r="A340" s="136" t="str">
        <f>IFERROR(__xludf.DUMMYFUNCTION("""COMPUTED_VALUE""")," ko")</f>
        <v> ko</v>
      </c>
      <c r="B340" s="136"/>
    </row>
    <row r="341">
      <c r="A341" s="136" t="str">
        <f>IFERROR(__xludf.DUMMYFUNCTION("""COMPUTED_VALUE""")," ko")</f>
        <v> ko</v>
      </c>
      <c r="B341" s="136"/>
    </row>
    <row r="342">
      <c r="A342" s="136" t="str">
        <f>IFERROR(__xludf.DUMMYFUNCTION("""COMPUTED_VALUE""")," ko")</f>
        <v> ko</v>
      </c>
      <c r="B342" s="136"/>
    </row>
    <row r="343">
      <c r="A343" s="136" t="str">
        <f>IFERROR(__xludf.DUMMYFUNCTION("""COMPUTED_VALUE""")," ko")</f>
        <v> ko</v>
      </c>
      <c r="B343" s="136"/>
    </row>
    <row r="344">
      <c r="A344" s="136" t="str">
        <f>IFERROR(__xludf.DUMMYFUNCTION("""COMPUTED_VALUE""")," ko")</f>
        <v> ko</v>
      </c>
      <c r="B344" s="136"/>
    </row>
    <row r="345">
      <c r="A345" s="136" t="str">
        <f>IFERROR(__xludf.DUMMYFUNCTION("""COMPUTED_VALUE""")," ko")</f>
        <v> ko</v>
      </c>
      <c r="B345" s="136"/>
    </row>
    <row r="346">
      <c r="A346" s="136" t="str">
        <f>IFERROR(__xludf.DUMMYFUNCTION("""COMPUTED_VALUE""")," ko")</f>
        <v> ko</v>
      </c>
      <c r="B346" s="136"/>
    </row>
    <row r="347">
      <c r="A347" s="136" t="str">
        <f>IFERROR(__xludf.DUMMYFUNCTION("""COMPUTED_VALUE""")," ko")</f>
        <v> ko</v>
      </c>
      <c r="B347" s="136"/>
    </row>
    <row r="348">
      <c r="A348" s="136" t="str">
        <f>IFERROR(__xludf.DUMMYFUNCTION("""COMPUTED_VALUE""")," ko")</f>
        <v> ko</v>
      </c>
      <c r="B348" s="136"/>
    </row>
    <row r="349">
      <c r="A349" s="136" t="str">
        <f>IFERROR(__xludf.DUMMYFUNCTION("""COMPUTED_VALUE""")," ko")</f>
        <v> ko</v>
      </c>
      <c r="B349" s="136"/>
    </row>
    <row r="350">
      <c r="A350" s="136" t="str">
        <f>IFERROR(__xludf.DUMMYFUNCTION("""COMPUTED_VALUE""")," ko")</f>
        <v> ko</v>
      </c>
      <c r="B350" s="136"/>
    </row>
    <row r="351">
      <c r="A351" s="136" t="str">
        <f>IFERROR(__xludf.DUMMYFUNCTION("""COMPUTED_VALUE""")," ko")</f>
        <v> ko</v>
      </c>
      <c r="B351" s="136"/>
    </row>
    <row r="352">
      <c r="A352" s="136" t="str">
        <f>IFERROR(__xludf.DUMMYFUNCTION("""COMPUTED_VALUE""")," ko")</f>
        <v> ko</v>
      </c>
      <c r="B352" s="136"/>
    </row>
    <row r="353">
      <c r="A353" s="136" t="str">
        <f>IFERROR(__xludf.DUMMYFUNCTION("""COMPUTED_VALUE""")," ko")</f>
        <v> ko</v>
      </c>
      <c r="B353" s="136"/>
    </row>
    <row r="354">
      <c r="A354" s="136" t="str">
        <f>IFERROR(__xludf.DUMMYFUNCTION("""COMPUTED_VALUE""")," ko")</f>
        <v> ko</v>
      </c>
      <c r="B354" s="136"/>
    </row>
    <row r="355">
      <c r="A355" s="136" t="str">
        <f>IFERROR(__xludf.DUMMYFUNCTION("""COMPUTED_VALUE""")," ko")</f>
        <v> ko</v>
      </c>
      <c r="B355" s="136"/>
    </row>
    <row r="356">
      <c r="A356" s="136" t="str">
        <f>IFERROR(__xludf.DUMMYFUNCTION("""COMPUTED_VALUE""")," ko")</f>
        <v> ko</v>
      </c>
      <c r="B356" s="136"/>
    </row>
    <row r="357">
      <c r="A357" s="136" t="str">
        <f>IFERROR(__xludf.DUMMYFUNCTION("""COMPUTED_VALUE""")," ko")</f>
        <v> ko</v>
      </c>
      <c r="B357" s="136"/>
    </row>
    <row r="358">
      <c r="A358" s="136" t="str">
        <f>IFERROR(__xludf.DUMMYFUNCTION("""COMPUTED_VALUE""")," ko")</f>
        <v> ko</v>
      </c>
      <c r="B358" s="136"/>
    </row>
    <row r="359">
      <c r="A359" s="136" t="str">
        <f>IFERROR(__xludf.DUMMYFUNCTION("""COMPUTED_VALUE""")," ko")</f>
        <v> ko</v>
      </c>
      <c r="B359" s="136"/>
    </row>
    <row r="360">
      <c r="A360" s="136" t="str">
        <f>IFERROR(__xludf.DUMMYFUNCTION("""COMPUTED_VALUE""")," ko")</f>
        <v> ko</v>
      </c>
      <c r="B360" s="136"/>
    </row>
    <row r="361">
      <c r="A361" s="136" t="str">
        <f>IFERROR(__xludf.DUMMYFUNCTION("""COMPUTED_VALUE""")," ko")</f>
        <v> ko</v>
      </c>
      <c r="B361" s="136"/>
    </row>
    <row r="362">
      <c r="A362" s="136" t="str">
        <f>IFERROR(__xludf.DUMMYFUNCTION("""COMPUTED_VALUE""")," ko")</f>
        <v> ko</v>
      </c>
      <c r="B362" s="136"/>
    </row>
    <row r="363">
      <c r="A363" s="136" t="str">
        <f>IFERROR(__xludf.DUMMYFUNCTION("""COMPUTED_VALUE""")," ko")</f>
        <v> ko</v>
      </c>
      <c r="B363" s="136"/>
    </row>
    <row r="364">
      <c r="A364" s="136" t="str">
        <f>IFERROR(__xludf.DUMMYFUNCTION("""COMPUTED_VALUE""")," ko")</f>
        <v> ko</v>
      </c>
      <c r="B364" s="136"/>
    </row>
    <row r="365">
      <c r="A365" s="136" t="str">
        <f>IFERROR(__xludf.DUMMYFUNCTION("""COMPUTED_VALUE""")," ko")</f>
        <v> ko</v>
      </c>
      <c r="B365" s="136"/>
    </row>
    <row r="366">
      <c r="A366" s="136" t="str">
        <f>IFERROR(__xludf.DUMMYFUNCTION("""COMPUTED_VALUE""")," ko")</f>
        <v> ko</v>
      </c>
      <c r="B366" s="136"/>
    </row>
    <row r="367">
      <c r="A367" s="136" t="str">
        <f>IFERROR(__xludf.DUMMYFUNCTION("""COMPUTED_VALUE""")," ko")</f>
        <v> ko</v>
      </c>
      <c r="B367" s="136"/>
    </row>
    <row r="368">
      <c r="A368" s="136" t="str">
        <f>IFERROR(__xludf.DUMMYFUNCTION("""COMPUTED_VALUE""")," ko")</f>
        <v> ko</v>
      </c>
      <c r="B368" s="136"/>
    </row>
    <row r="369">
      <c r="A369" s="136" t="str">
        <f>IFERROR(__xludf.DUMMYFUNCTION("""COMPUTED_VALUE""")," ko")</f>
        <v> ko</v>
      </c>
      <c r="B369" s="136"/>
    </row>
    <row r="370">
      <c r="A370" s="136" t="str">
        <f>IFERROR(__xludf.DUMMYFUNCTION("""COMPUTED_VALUE""")," ko")</f>
        <v> ko</v>
      </c>
      <c r="B370" s="136"/>
    </row>
    <row r="371">
      <c r="A371" s="136" t="str">
        <f>IFERROR(__xludf.DUMMYFUNCTION("""COMPUTED_VALUE""")," ko")</f>
        <v> ko</v>
      </c>
      <c r="B371" s="136"/>
    </row>
    <row r="372">
      <c r="A372" s="136" t="str">
        <f>IFERROR(__xludf.DUMMYFUNCTION("""COMPUTED_VALUE""")," ko")</f>
        <v> ko</v>
      </c>
      <c r="B372" s="136"/>
    </row>
    <row r="373">
      <c r="A373" s="136" t="str">
        <f>IFERROR(__xludf.DUMMYFUNCTION("""COMPUTED_VALUE""")," ko")</f>
        <v> ko</v>
      </c>
      <c r="B373" s="136"/>
    </row>
    <row r="374">
      <c r="A374" s="136" t="str">
        <f>IFERROR(__xludf.DUMMYFUNCTION("""COMPUTED_VALUE""")," ko")</f>
        <v> ko</v>
      </c>
      <c r="B374" s="136"/>
    </row>
    <row r="375">
      <c r="A375" s="136" t="str">
        <f>IFERROR(__xludf.DUMMYFUNCTION("""COMPUTED_VALUE""")," ko")</f>
        <v> ko</v>
      </c>
      <c r="B375" s="136"/>
    </row>
    <row r="376">
      <c r="A376" s="136" t="str">
        <f>IFERROR(__xludf.DUMMYFUNCTION("""COMPUTED_VALUE""")," ko")</f>
        <v> ko</v>
      </c>
      <c r="B376" s="136"/>
    </row>
    <row r="377">
      <c r="A377" s="136" t="str">
        <f>IFERROR(__xludf.DUMMYFUNCTION("""COMPUTED_VALUE""")," ko")</f>
        <v> ko</v>
      </c>
      <c r="B377" s="136"/>
    </row>
    <row r="378">
      <c r="A378" s="136" t="str">
        <f>IFERROR(__xludf.DUMMYFUNCTION("""COMPUTED_VALUE""")," ko")</f>
        <v> ko</v>
      </c>
      <c r="B378" s="136"/>
    </row>
    <row r="379">
      <c r="A379" s="136" t="str">
        <f>IFERROR(__xludf.DUMMYFUNCTION("""COMPUTED_VALUE""")," ko")</f>
        <v> ko</v>
      </c>
      <c r="B379" s="136"/>
    </row>
    <row r="380">
      <c r="A380" s="136" t="str">
        <f>IFERROR(__xludf.DUMMYFUNCTION("""COMPUTED_VALUE""")," ko")</f>
        <v> ko</v>
      </c>
      <c r="B380" s="136"/>
    </row>
    <row r="381">
      <c r="A381" s="136" t="str">
        <f>IFERROR(__xludf.DUMMYFUNCTION("""COMPUTED_VALUE""")," ko")</f>
        <v> ko</v>
      </c>
      <c r="B381" s="136"/>
    </row>
    <row r="382">
      <c r="A382" s="136" t="str">
        <f>IFERROR(__xludf.DUMMYFUNCTION("""COMPUTED_VALUE""")," ko")</f>
        <v> ko</v>
      </c>
      <c r="B382" s="136"/>
    </row>
    <row r="383">
      <c r="A383" s="136" t="str">
        <f>IFERROR(__xludf.DUMMYFUNCTION("""COMPUTED_VALUE""")," ko")</f>
        <v> ko</v>
      </c>
      <c r="B383" s="136"/>
    </row>
    <row r="384">
      <c r="A384" s="136" t="str">
        <f>IFERROR(__xludf.DUMMYFUNCTION("""COMPUTED_VALUE""")," ko")</f>
        <v> ko</v>
      </c>
      <c r="B384" s="136"/>
    </row>
    <row r="385">
      <c r="A385" s="136" t="str">
        <f>IFERROR(__xludf.DUMMYFUNCTION("""COMPUTED_VALUE""")," ko")</f>
        <v> ko</v>
      </c>
      <c r="B385" s="136"/>
    </row>
    <row r="386">
      <c r="A386" s="136" t="str">
        <f>IFERROR(__xludf.DUMMYFUNCTION("""COMPUTED_VALUE""")," ko")</f>
        <v> ko</v>
      </c>
      <c r="B386" s="136"/>
    </row>
    <row r="387">
      <c r="A387" s="136" t="str">
        <f>IFERROR(__xludf.DUMMYFUNCTION("""COMPUTED_VALUE""")," ko")</f>
        <v> ko</v>
      </c>
      <c r="B387" s="136"/>
    </row>
    <row r="388">
      <c r="A388" s="136" t="str">
        <f>IFERROR(__xludf.DUMMYFUNCTION("""COMPUTED_VALUE""")," ko")</f>
        <v> ko</v>
      </c>
      <c r="B388" s="136"/>
    </row>
    <row r="389">
      <c r="A389" s="136" t="str">
        <f>IFERROR(__xludf.DUMMYFUNCTION("""COMPUTED_VALUE""")," ko")</f>
        <v> ko</v>
      </c>
      <c r="B389" s="136"/>
    </row>
    <row r="390">
      <c r="A390" s="136" t="str">
        <f>IFERROR(__xludf.DUMMYFUNCTION("""COMPUTED_VALUE""")," ko")</f>
        <v> ko</v>
      </c>
      <c r="B390" s="136"/>
    </row>
    <row r="391">
      <c r="A391" s="136" t="str">
        <f>IFERROR(__xludf.DUMMYFUNCTION("""COMPUTED_VALUE""")," ko")</f>
        <v> ko</v>
      </c>
      <c r="B391" s="136"/>
    </row>
    <row r="392">
      <c r="A392" s="136" t="str">
        <f>IFERROR(__xludf.DUMMYFUNCTION("""COMPUTED_VALUE""")," ko")</f>
        <v> ko</v>
      </c>
      <c r="B392" s="136"/>
    </row>
    <row r="393">
      <c r="A393" s="136" t="str">
        <f>IFERROR(__xludf.DUMMYFUNCTION("""COMPUTED_VALUE""")," ko")</f>
        <v> ko</v>
      </c>
      <c r="B393" s="136"/>
    </row>
    <row r="394">
      <c r="A394" s="136" t="str">
        <f>IFERROR(__xludf.DUMMYFUNCTION("""COMPUTED_VALUE""")," ko")</f>
        <v> ko</v>
      </c>
      <c r="B394" s="136"/>
    </row>
    <row r="395">
      <c r="A395" s="136" t="str">
        <f>IFERROR(__xludf.DUMMYFUNCTION("""COMPUTED_VALUE""")," ko")</f>
        <v> ko</v>
      </c>
      <c r="B395" s="136"/>
    </row>
    <row r="396">
      <c r="A396" s="136" t="str">
        <f>IFERROR(__xludf.DUMMYFUNCTION("""COMPUTED_VALUE""")," ko")</f>
        <v> ko</v>
      </c>
      <c r="B396" s="136"/>
    </row>
    <row r="397">
      <c r="A397" s="136" t="str">
        <f>IFERROR(__xludf.DUMMYFUNCTION("""COMPUTED_VALUE""")," ko")</f>
        <v> ko</v>
      </c>
      <c r="B397" s="136"/>
    </row>
    <row r="398">
      <c r="A398" s="136" t="str">
        <f>IFERROR(__xludf.DUMMYFUNCTION("""COMPUTED_VALUE""")," ko")</f>
        <v> ko</v>
      </c>
      <c r="B398" s="136"/>
    </row>
    <row r="399">
      <c r="A399" s="136" t="str">
        <f>IFERROR(__xludf.DUMMYFUNCTION("""COMPUTED_VALUE""")," ko")</f>
        <v> ko</v>
      </c>
      <c r="B399" s="136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2">
      <c r="A2" s="137" t="s">
        <v>27</v>
      </c>
    </row>
    <row r="3">
      <c r="A3" s="137" t="s">
        <v>89</v>
      </c>
    </row>
    <row r="4">
      <c r="A4" s="138" t="s">
        <v>71</v>
      </c>
    </row>
    <row r="5">
      <c r="A5" s="137" t="s">
        <v>90</v>
      </c>
    </row>
    <row r="6">
      <c r="A6" s="137" t="s">
        <v>91</v>
      </c>
    </row>
    <row r="7">
      <c r="A7" s="138" t="s">
        <v>92</v>
      </c>
    </row>
    <row r="8">
      <c r="A8" s="138" t="s">
        <v>93</v>
      </c>
    </row>
    <row r="9">
      <c r="A9" s="137" t="s">
        <v>64</v>
      </c>
    </row>
    <row r="10">
      <c r="A10" s="138" t="s">
        <v>94</v>
      </c>
    </row>
    <row r="11">
      <c r="A11" s="137" t="s">
        <v>95</v>
      </c>
    </row>
    <row r="12">
      <c r="A12" s="137" t="s">
        <v>67</v>
      </c>
    </row>
    <row r="13">
      <c r="A13" s="137" t="s">
        <v>96</v>
      </c>
    </row>
    <row r="14">
      <c r="A14" s="137" t="s">
        <v>74</v>
      </c>
    </row>
    <row r="15">
      <c r="A15" s="137" t="s">
        <v>97</v>
      </c>
    </row>
    <row r="16">
      <c r="A16" s="137" t="s">
        <v>98</v>
      </c>
    </row>
    <row r="17">
      <c r="A17" s="137" t="s">
        <v>99</v>
      </c>
    </row>
    <row r="18">
      <c r="A18" s="137" t="s">
        <v>100</v>
      </c>
    </row>
    <row r="19">
      <c r="A19" s="137" t="s">
        <v>101</v>
      </c>
    </row>
    <row r="20">
      <c r="A20" s="137" t="s">
        <v>102</v>
      </c>
    </row>
    <row r="21">
      <c r="A21" s="137" t="s">
        <v>103</v>
      </c>
    </row>
    <row r="22">
      <c r="A22" s="139" t="s">
        <v>104</v>
      </c>
    </row>
    <row r="23">
      <c r="A23" s="140" t="s">
        <v>80</v>
      </c>
    </row>
    <row r="24">
      <c r="A24" s="140" t="s">
        <v>105</v>
      </c>
    </row>
    <row r="25">
      <c r="A25" s="141" t="s">
        <v>106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3" width="14.43"/>
    <col customWidth="1" min="5" max="5" width="32.0"/>
  </cols>
  <sheetData>
    <row r="1" ht="15.75" customHeight="1">
      <c r="B1" s="142"/>
      <c r="D1" s="143"/>
      <c r="F1" s="144">
        <v>2022.0</v>
      </c>
      <c r="G1" s="144">
        <v>2023.0</v>
      </c>
      <c r="H1" s="145"/>
    </row>
    <row r="2" ht="15.75" customHeight="1">
      <c r="A2" s="146" t="str">
        <f>IFERROR(__xludf.DUMMYFUNCTION("IMPORTRANGE(""https://docs.google.com/spreadsheets/d/1FqBw0DG0hpXr2pCclb6M7xD8PffL-_0U2K2V1ASktRU/edit?usp=sharing"",""INSCRIPTION!H2:H400"")"),"ACHI Marlon")</f>
        <v>ACHI Marlon</v>
      </c>
      <c r="B2" s="147" t="str">
        <f>IFERROR(__xludf.DUMMYFUNCTION("IMPORTRANGE(""https://docs.google.com/spreadsheets/d/1FqBw0DG0hpXr2pCclb6M7xD8PffL-_0U2K2V1ASktRU/edit?usp=sharing"",""INSCRIPTION!K2:K400"")"),"PE20")</f>
        <v>PE20</v>
      </c>
      <c r="C2" s="148">
        <f>IFERROR(__xludf.DUMMYFUNCTION("IMPORTRANGE(""https://docs.google.com/spreadsheets/d/1FqBw0DG0hpXr2pCclb6M7xD8PffL-_0U2K2V1ASktRU/edit?usp=sharing"",""INSCRIPTION!O2:O400"")"),46128.0)</f>
        <v>46128</v>
      </c>
      <c r="D2" s="143" t="str">
        <f t="shared" ref="D2:D401" si="1">IF(C2-TODAY()&gt;=15,"ok","ko")</f>
        <v>ok</v>
      </c>
      <c r="E2" s="149" t="str">
        <f t="shared" ref="E2:E412" si="2">A2&amp;"   "&amp;D2</f>
        <v>ACHI Marlon   ok</v>
      </c>
      <c r="F2" s="149" t="b">
        <f>IFERROR(__xludf.DUMMYFUNCTION("IMPORTRANGE(""https://docs.google.com/spreadsheets/d/1FqBw0DG0hpXr2pCclb6M7xD8PffL-_0U2K2V1ASktRU/edit?usp=sharing"",""INSCRIPTION!D2:D400"")"),FALSE)</f>
        <v>0</v>
      </c>
      <c r="G2" s="149" t="b">
        <f>IFERROR(__xludf.DUMMYFUNCTION("IMPORTRANGE(""https://docs.google.com/spreadsheets/d/1FqBw0DG0hpXr2pCclb6M7xD8PffL-_0U2K2V1ASktRU/edit?usp=sharing"",""INSCRIPTION!E2:E400"")"),TRUE)</f>
        <v>1</v>
      </c>
      <c r="H2" s="150" t="str">
        <f>IFERROR(__xludf.DUMMYFUNCTION("IMPORTRANGE(""https://docs.google.com/spreadsheets/d/1FqBw0DG0hpXr2pCclb6M7xD8PffL-_0U2K2V1ASktRU/edit?usp=sharing"",""INSCRIPTION!K2:K400"")"),"PE20")</f>
        <v>PE20</v>
      </c>
      <c r="K2" s="149" t="str">
        <f t="shared" ref="K2:K310" si="3">E2&amp;"   "&amp;B2 </f>
        <v>ACHI Marlon   ok   PE20</v>
      </c>
    </row>
    <row r="3" ht="15.75" customHeight="1">
      <c r="A3" s="149" t="str">
        <f>IFERROR(__xludf.DUMMYFUNCTION("""COMPUTED_VALUE"""),"AIRAULT FABRICE")</f>
        <v>AIRAULT FABRICE</v>
      </c>
      <c r="B3" s="142" t="str">
        <f>IFERROR(__xludf.DUMMYFUNCTION("""COMPUTED_VALUE"""),"E2")</f>
        <v>E2</v>
      </c>
      <c r="C3" s="151">
        <f>IFERROR(__xludf.DUMMYFUNCTION("""COMPUTED_VALUE"""),46087.0)</f>
        <v>46087</v>
      </c>
      <c r="D3" s="143" t="str">
        <f t="shared" si="1"/>
        <v>ok</v>
      </c>
      <c r="E3" s="149" t="str">
        <f t="shared" si="2"/>
        <v>AIRAULT FABRICE   ok</v>
      </c>
      <c r="F3" s="149" t="b">
        <f>IFERROR(__xludf.DUMMYFUNCTION("""COMPUTED_VALUE"""),TRUE)</f>
        <v>1</v>
      </c>
      <c r="G3" s="149" t="b">
        <f>IFERROR(__xludf.DUMMYFUNCTION("""COMPUTED_VALUE"""),TRUE)</f>
        <v>1</v>
      </c>
      <c r="H3" s="145" t="str">
        <f>IFERROR(__xludf.DUMMYFUNCTION("""COMPUTED_VALUE"""),"E2")</f>
        <v>E2</v>
      </c>
      <c r="K3" s="149" t="str">
        <f t="shared" si="3"/>
        <v>AIRAULT FABRICE   ok   E2</v>
      </c>
    </row>
    <row r="4" ht="15.75" customHeight="1">
      <c r="A4" s="149" t="str">
        <f>IFERROR(__xludf.DUMMYFUNCTION("""COMPUTED_VALUE"""),"AIRAULT Melline")</f>
        <v>AIRAULT Melline</v>
      </c>
      <c r="B4" s="142" t="str">
        <f>IFERROR(__xludf.DUMMYFUNCTION("""COMPUTED_VALUE"""),"T1")</f>
        <v>T1</v>
      </c>
      <c r="C4" s="151">
        <f>IFERROR(__xludf.DUMMYFUNCTION("""COMPUTED_VALUE"""),46177.0)</f>
        <v>46177</v>
      </c>
      <c r="D4" s="143" t="str">
        <f t="shared" si="1"/>
        <v>ok</v>
      </c>
      <c r="E4" s="149" t="str">
        <f t="shared" si="2"/>
        <v>AIRAULT Melline   ok</v>
      </c>
      <c r="F4" s="149" t="b">
        <f>IFERROR(__xludf.DUMMYFUNCTION("""COMPUTED_VALUE"""),FALSE)</f>
        <v>0</v>
      </c>
      <c r="G4" s="149" t="b">
        <f>IFERROR(__xludf.DUMMYFUNCTION("""COMPUTED_VALUE"""),TRUE)</f>
        <v>1</v>
      </c>
      <c r="H4" s="145" t="str">
        <f>IFERROR(__xludf.DUMMYFUNCTION("""COMPUTED_VALUE"""),"T1")</f>
        <v>T1</v>
      </c>
      <c r="K4" s="149" t="str">
        <f t="shared" si="3"/>
        <v>AIRAULT Melline   ok   T1</v>
      </c>
    </row>
    <row r="5" ht="15.75" customHeight="1">
      <c r="A5" s="149" t="str">
        <f>IFERROR(__xludf.DUMMYFUNCTION("""COMPUTED_VALUE"""),"ALLAMANDI Audrey")</f>
        <v>ALLAMANDI Audrey</v>
      </c>
      <c r="B5" s="142" t="str">
        <f>IFERROR(__xludf.DUMMYFUNCTION("""COMPUTED_VALUE"""),"PE20")</f>
        <v>PE20</v>
      </c>
      <c r="C5" s="151">
        <f>IFERROR(__xludf.DUMMYFUNCTION("""COMPUTED_VALUE"""),46255.0)</f>
        <v>46255</v>
      </c>
      <c r="D5" s="143" t="str">
        <f t="shared" si="1"/>
        <v>ok</v>
      </c>
      <c r="E5" s="149" t="str">
        <f t="shared" si="2"/>
        <v>ALLAMANDI Audrey   ok</v>
      </c>
      <c r="F5" s="149" t="b">
        <f>IFERROR(__xludf.DUMMYFUNCTION("""COMPUTED_VALUE"""),FALSE)</f>
        <v>0</v>
      </c>
      <c r="G5" s="149" t="b">
        <f>IFERROR(__xludf.DUMMYFUNCTION("""COMPUTED_VALUE"""),TRUE)</f>
        <v>1</v>
      </c>
      <c r="H5" s="145" t="str">
        <f>IFERROR(__xludf.DUMMYFUNCTION("""COMPUTED_VALUE"""),"PE20")</f>
        <v>PE20</v>
      </c>
      <c r="K5" s="149" t="str">
        <f t="shared" si="3"/>
        <v>ALLAMANDI Audrey   ok   PE20</v>
      </c>
    </row>
    <row r="6" ht="15.75" customHeight="1">
      <c r="A6" s="149" t="str">
        <f>IFERROR(__xludf.DUMMYFUNCTION("""COMPUTED_VALUE"""),"ALLEC Loic")</f>
        <v>ALLEC Loic</v>
      </c>
      <c r="B6" s="142" t="str">
        <f>IFERROR(__xludf.DUMMYFUNCTION("""COMPUTED_VALUE"""),"T1")</f>
        <v>T1</v>
      </c>
      <c r="C6" s="151">
        <f>IFERROR(__xludf.DUMMYFUNCTION("""COMPUTED_VALUE"""),46108.0)</f>
        <v>46108</v>
      </c>
      <c r="D6" s="143" t="str">
        <f t="shared" si="1"/>
        <v>ok</v>
      </c>
      <c r="E6" s="149" t="str">
        <f t="shared" si="2"/>
        <v>ALLEC Loic   ok</v>
      </c>
      <c r="F6" s="149" t="b">
        <f>IFERROR(__xludf.DUMMYFUNCTION("""COMPUTED_VALUE"""),FALSE)</f>
        <v>0</v>
      </c>
      <c r="G6" s="149" t="b">
        <f>IFERROR(__xludf.DUMMYFUNCTION("""COMPUTED_VALUE"""),TRUE)</f>
        <v>1</v>
      </c>
      <c r="H6" s="145" t="str">
        <f>IFERROR(__xludf.DUMMYFUNCTION("""COMPUTED_VALUE"""),"T1")</f>
        <v>T1</v>
      </c>
      <c r="K6" s="149" t="str">
        <f t="shared" si="3"/>
        <v>ALLEC Loic   ok   T1</v>
      </c>
    </row>
    <row r="7" ht="15.75" customHeight="1">
      <c r="A7" s="149" t="str">
        <f>IFERROR(__xludf.DUMMYFUNCTION("""COMPUTED_VALUE"""),"AMOKRANE Cheryne")</f>
        <v>AMOKRANE Cheryne</v>
      </c>
      <c r="B7" s="142" t="str">
        <f>IFERROR(__xludf.DUMMYFUNCTION("""COMPUTED_VALUE"""),"PE20")</f>
        <v>PE20</v>
      </c>
      <c r="C7" s="151">
        <f>IFERROR(__xludf.DUMMYFUNCTION("""COMPUTED_VALUE"""),46115.0)</f>
        <v>46115</v>
      </c>
      <c r="D7" s="143" t="str">
        <f t="shared" si="1"/>
        <v>ok</v>
      </c>
      <c r="E7" s="149" t="str">
        <f t="shared" si="2"/>
        <v>AMOKRANE Cheryne   ok</v>
      </c>
      <c r="F7" s="149" t="b">
        <f>IFERROR(__xludf.DUMMYFUNCTION("""COMPUTED_VALUE"""),FALSE)</f>
        <v>0</v>
      </c>
      <c r="G7" s="149" t="b">
        <f>IFERROR(__xludf.DUMMYFUNCTION("""COMPUTED_VALUE"""),TRUE)</f>
        <v>1</v>
      </c>
      <c r="H7" s="145" t="str">
        <f>IFERROR(__xludf.DUMMYFUNCTION("""COMPUTED_VALUE"""),"PE20")</f>
        <v>PE20</v>
      </c>
      <c r="K7" s="149" t="str">
        <f t="shared" si="3"/>
        <v>AMOKRANE Cheryne   ok   PE20</v>
      </c>
    </row>
    <row r="8" ht="15.75" customHeight="1">
      <c r="A8" s="149" t="str">
        <f>IFERROR(__xludf.DUMMYFUNCTION("""COMPUTED_VALUE"""),"AMRIOU Khatya")</f>
        <v>AMRIOU Khatya</v>
      </c>
      <c r="B8" s="142" t="str">
        <f>IFERROR(__xludf.DUMMYFUNCTION("""COMPUTED_VALUE"""),"PE20")</f>
        <v>PE20</v>
      </c>
      <c r="C8" s="151">
        <f>IFERROR(__xludf.DUMMYFUNCTION("""COMPUTED_VALUE"""),46233.0)</f>
        <v>46233</v>
      </c>
      <c r="D8" s="143" t="str">
        <f t="shared" si="1"/>
        <v>ok</v>
      </c>
      <c r="E8" s="149" t="str">
        <f t="shared" si="2"/>
        <v>AMRIOU Khatya   ok</v>
      </c>
      <c r="F8" s="149" t="b">
        <f>IFERROR(__xludf.DUMMYFUNCTION("""COMPUTED_VALUE"""),FALSE)</f>
        <v>0</v>
      </c>
      <c r="G8" s="149" t="b">
        <f>IFERROR(__xludf.DUMMYFUNCTION("""COMPUTED_VALUE"""),TRUE)</f>
        <v>1</v>
      </c>
      <c r="H8" s="145" t="str">
        <f>IFERROR(__xludf.DUMMYFUNCTION("""COMPUTED_VALUE"""),"PE20")</f>
        <v>PE20</v>
      </c>
      <c r="K8" s="149" t="str">
        <f t="shared" si="3"/>
        <v>AMRIOU Khatya   ok   PE20</v>
      </c>
    </row>
    <row r="9" ht="15.75" customHeight="1">
      <c r="A9" s="149" t="str">
        <f>IFERROR(__xludf.DUMMYFUNCTION("""COMPUTED_VALUE"""),"ANCEL MARTIN")</f>
        <v>ANCEL MARTIN</v>
      </c>
      <c r="B9" s="142" t="str">
        <f>IFERROR(__xludf.DUMMYFUNCTION("""COMPUTED_VALUE"""),"PE40")</f>
        <v>PE40</v>
      </c>
      <c r="C9" s="151">
        <f>IFERROR(__xludf.DUMMYFUNCTION("""COMPUTED_VALUE"""),46245.0)</f>
        <v>46245</v>
      </c>
      <c r="D9" s="143" t="str">
        <f t="shared" si="1"/>
        <v>ok</v>
      </c>
      <c r="E9" s="149" t="str">
        <f t="shared" si="2"/>
        <v>ANCEL MARTIN   ok</v>
      </c>
      <c r="F9" s="149" t="b">
        <f>IFERROR(__xludf.DUMMYFUNCTION("""COMPUTED_VALUE"""),TRUE)</f>
        <v>1</v>
      </c>
      <c r="G9" s="149" t="b">
        <f>IFERROR(__xludf.DUMMYFUNCTION("""COMPUTED_VALUE"""),TRUE)</f>
        <v>1</v>
      </c>
      <c r="H9" s="145" t="str">
        <f>IFERROR(__xludf.DUMMYFUNCTION("""COMPUTED_VALUE"""),"PE40")</f>
        <v>PE40</v>
      </c>
      <c r="K9" s="149" t="str">
        <f t="shared" si="3"/>
        <v>ANCEL MARTIN   ok   PE40</v>
      </c>
    </row>
    <row r="10" ht="15.75" customHeight="1">
      <c r="A10" s="149" t="str">
        <f>IFERROR(__xludf.DUMMYFUNCTION("""COMPUTED_VALUE"""),"ANGLADE ALAIN")</f>
        <v>ANGLADE ALAIN</v>
      </c>
      <c r="B10" s="142" t="str">
        <f>IFERROR(__xludf.DUMMYFUNCTION("""COMPUTED_VALUE"""),"E4")</f>
        <v>E4</v>
      </c>
      <c r="C10" s="151">
        <f>IFERROR(__xludf.DUMMYFUNCTION("""COMPUTED_VALUE"""),45799.0)</f>
        <v>45799</v>
      </c>
      <c r="D10" s="143" t="str">
        <f t="shared" si="1"/>
        <v>ko</v>
      </c>
      <c r="E10" s="149" t="str">
        <f t="shared" si="2"/>
        <v>ANGLADE ALAIN   ko</v>
      </c>
      <c r="F10" s="149" t="b">
        <f>IFERROR(__xludf.DUMMYFUNCTION("""COMPUTED_VALUE"""),TRUE)</f>
        <v>1</v>
      </c>
      <c r="G10" s="149" t="b">
        <f>IFERROR(__xludf.DUMMYFUNCTION("""COMPUTED_VALUE"""),TRUE)</f>
        <v>1</v>
      </c>
      <c r="H10" s="145" t="str">
        <f>IFERROR(__xludf.DUMMYFUNCTION("""COMPUTED_VALUE"""),"E4")</f>
        <v>E4</v>
      </c>
      <c r="K10" s="149" t="str">
        <f t="shared" si="3"/>
        <v>ANGLADE ALAIN   ko   E4</v>
      </c>
    </row>
    <row r="11" ht="15.75" customHeight="1">
      <c r="A11" s="149" t="str">
        <f>IFERROR(__xludf.DUMMYFUNCTION("""COMPUTED_VALUE"""),"AUDOLI STEEVE")</f>
        <v>AUDOLI STEEVE</v>
      </c>
      <c r="B11" s="142" t="str">
        <f>IFERROR(__xludf.DUMMYFUNCTION("""COMPUTED_VALUE"""),"PA60 E1")</f>
        <v>PA60 E1</v>
      </c>
      <c r="C11" s="151">
        <f>IFERROR(__xludf.DUMMYFUNCTION("""COMPUTED_VALUE"""),46129.0)</f>
        <v>46129</v>
      </c>
      <c r="D11" s="143" t="str">
        <f t="shared" si="1"/>
        <v>ok</v>
      </c>
      <c r="E11" s="149" t="str">
        <f t="shared" si="2"/>
        <v>AUDOLI STEEVE   ok</v>
      </c>
      <c r="F11" s="149" t="b">
        <f>IFERROR(__xludf.DUMMYFUNCTION("""COMPUTED_VALUE"""),TRUE)</f>
        <v>1</v>
      </c>
      <c r="G11" s="149" t="b">
        <f>IFERROR(__xludf.DUMMYFUNCTION("""COMPUTED_VALUE"""),TRUE)</f>
        <v>1</v>
      </c>
      <c r="H11" s="145" t="str">
        <f>IFERROR(__xludf.DUMMYFUNCTION("""COMPUTED_VALUE"""),"PA60 E1")</f>
        <v>PA60 E1</v>
      </c>
      <c r="K11" s="149" t="str">
        <f t="shared" si="3"/>
        <v>AUDOLI STEEVE   ok   PA60 E1</v>
      </c>
    </row>
    <row r="12" ht="15.75" customHeight="1">
      <c r="A12" s="149" t="str">
        <f>IFERROR(__xludf.DUMMYFUNCTION("""COMPUTED_VALUE"""),"BAILLY FLORA")</f>
        <v>BAILLY FLORA</v>
      </c>
      <c r="B12" s="142" t="str">
        <f>IFERROR(__xludf.DUMMYFUNCTION("""COMPUTED_VALUE"""),"E2")</f>
        <v>E2</v>
      </c>
      <c r="C12" s="151">
        <f>IFERROR(__xludf.DUMMYFUNCTION("""COMPUTED_VALUE"""),46254.0)</f>
        <v>46254</v>
      </c>
      <c r="D12" s="143" t="str">
        <f t="shared" si="1"/>
        <v>ok</v>
      </c>
      <c r="E12" s="149" t="str">
        <f t="shared" si="2"/>
        <v>BAILLY FLORA   ok</v>
      </c>
      <c r="F12" s="149" t="b">
        <f>IFERROR(__xludf.DUMMYFUNCTION("""COMPUTED_VALUE"""),TRUE)</f>
        <v>1</v>
      </c>
      <c r="G12" s="149" t="b">
        <f>IFERROR(__xludf.DUMMYFUNCTION("""COMPUTED_VALUE"""),TRUE)</f>
        <v>1</v>
      </c>
      <c r="H12" s="145" t="str">
        <f>IFERROR(__xludf.DUMMYFUNCTION("""COMPUTED_VALUE"""),"E2")</f>
        <v>E2</v>
      </c>
      <c r="K12" s="149" t="str">
        <f t="shared" si="3"/>
        <v>BAILLY FLORA   ok   E2</v>
      </c>
    </row>
    <row r="13" ht="15.75" customHeight="1">
      <c r="A13" s="149" t="str">
        <f>IFERROR(__xludf.DUMMYFUNCTION("""COMPUTED_VALUE"""),"BANNI ANTOINE")</f>
        <v>BANNI ANTOINE</v>
      </c>
      <c r="B13" s="142" t="str">
        <f>IFERROR(__xludf.DUMMYFUNCTION("""COMPUTED_VALUE"""),"PE40 PA20")</f>
        <v>PE40 PA20</v>
      </c>
      <c r="C13" s="151">
        <f>IFERROR(__xludf.DUMMYFUNCTION("""COMPUTED_VALUE"""),46095.0)</f>
        <v>46095</v>
      </c>
      <c r="D13" s="143" t="str">
        <f t="shared" si="1"/>
        <v>ok</v>
      </c>
      <c r="E13" s="149" t="str">
        <f t="shared" si="2"/>
        <v>BANNI ANTOINE   ok</v>
      </c>
      <c r="F13" s="149" t="b">
        <f>IFERROR(__xludf.DUMMYFUNCTION("""COMPUTED_VALUE"""),TRUE)</f>
        <v>1</v>
      </c>
      <c r="G13" s="149" t="b">
        <f>IFERROR(__xludf.DUMMYFUNCTION("""COMPUTED_VALUE"""),TRUE)</f>
        <v>1</v>
      </c>
      <c r="H13" s="145" t="str">
        <f>IFERROR(__xludf.DUMMYFUNCTION("""COMPUTED_VALUE"""),"PE40 PA20")</f>
        <v>PE40 PA20</v>
      </c>
      <c r="K13" s="149" t="str">
        <f t="shared" si="3"/>
        <v>BANNI ANTOINE   ok   PE40 PA20</v>
      </c>
    </row>
    <row r="14" ht="15.75" customHeight="1">
      <c r="A14" s="149" t="str">
        <f>IFERROR(__xludf.DUMMYFUNCTION("""COMPUTED_VALUE"""),"BANNI SYLVIE")</f>
        <v>BANNI SYLVIE</v>
      </c>
      <c r="B14" s="142" t="str">
        <f>IFERROR(__xludf.DUMMYFUNCTION("""COMPUTED_VALUE"""),"PE40 PA20")</f>
        <v>PE40 PA20</v>
      </c>
      <c r="C14" s="151">
        <f>IFERROR(__xludf.DUMMYFUNCTION("""COMPUTED_VALUE"""),46231.0)</f>
        <v>46231</v>
      </c>
      <c r="D14" s="143" t="str">
        <f t="shared" si="1"/>
        <v>ok</v>
      </c>
      <c r="E14" s="149" t="str">
        <f t="shared" si="2"/>
        <v>BANNI SYLVIE   ok</v>
      </c>
      <c r="F14" s="149" t="b">
        <f>IFERROR(__xludf.DUMMYFUNCTION("""COMPUTED_VALUE"""),TRUE)</f>
        <v>1</v>
      </c>
      <c r="G14" s="149" t="b">
        <f>IFERROR(__xludf.DUMMYFUNCTION("""COMPUTED_VALUE"""),TRUE)</f>
        <v>1</v>
      </c>
      <c r="H14" s="145" t="str">
        <f>IFERROR(__xludf.DUMMYFUNCTION("""COMPUTED_VALUE"""),"PE40 PA20")</f>
        <v>PE40 PA20</v>
      </c>
      <c r="K14" s="149" t="str">
        <f t="shared" si="3"/>
        <v>BANNI SYLVIE   ok   PE40 PA20</v>
      </c>
    </row>
    <row r="15" ht="15.75" customHeight="1">
      <c r="A15" s="149" t="str">
        <f>IFERROR(__xludf.DUMMYFUNCTION("""COMPUTED_VALUE"""),"BAPSOLLES PIERRE")</f>
        <v>BAPSOLLES PIERRE</v>
      </c>
      <c r="B15" s="142" t="str">
        <f>IFERROR(__xludf.DUMMYFUNCTION("""COMPUTED_VALUE"""),"PA60")</f>
        <v>PA60</v>
      </c>
      <c r="C15" s="151">
        <f>IFERROR(__xludf.DUMMYFUNCTION("""COMPUTED_VALUE"""),46037.0)</f>
        <v>46037</v>
      </c>
      <c r="D15" s="143" t="str">
        <f t="shared" si="1"/>
        <v>ok</v>
      </c>
      <c r="E15" s="149" t="str">
        <f t="shared" si="2"/>
        <v>BAPSOLLES PIERRE   ok</v>
      </c>
      <c r="F15" s="149" t="b">
        <f>IFERROR(__xludf.DUMMYFUNCTION("""COMPUTED_VALUE"""),TRUE)</f>
        <v>1</v>
      </c>
      <c r="G15" s="149" t="b">
        <f>IFERROR(__xludf.DUMMYFUNCTION("""COMPUTED_VALUE"""),TRUE)</f>
        <v>1</v>
      </c>
      <c r="H15" s="145" t="str">
        <f>IFERROR(__xludf.DUMMYFUNCTION("""COMPUTED_VALUE"""),"PA60")</f>
        <v>PA60</v>
      </c>
      <c r="K15" s="149" t="str">
        <f t="shared" si="3"/>
        <v>BAPSOLLES PIERRE   ok   PA60</v>
      </c>
    </row>
    <row r="16" ht="15.75" customHeight="1">
      <c r="A16" s="149" t="str">
        <f>IFERROR(__xludf.DUMMYFUNCTION("""COMPUTED_VALUE"""),"BARBAGELATA Liza")</f>
        <v>BARBAGELATA Liza</v>
      </c>
      <c r="B16" s="142" t="str">
        <f>IFERROR(__xludf.DUMMYFUNCTION("""COMPUTED_VALUE"""),"PE20")</f>
        <v>PE20</v>
      </c>
      <c r="C16" s="151">
        <f>IFERROR(__xludf.DUMMYFUNCTION("""COMPUTED_VALUE"""),46183.0)</f>
        <v>46183</v>
      </c>
      <c r="D16" s="143" t="str">
        <f t="shared" si="1"/>
        <v>ok</v>
      </c>
      <c r="E16" s="149" t="str">
        <f t="shared" si="2"/>
        <v>BARBAGELATA Liza   ok</v>
      </c>
      <c r="F16" s="149" t="b">
        <f>IFERROR(__xludf.DUMMYFUNCTION("""COMPUTED_VALUE"""),FALSE)</f>
        <v>0</v>
      </c>
      <c r="G16" s="149" t="b">
        <f>IFERROR(__xludf.DUMMYFUNCTION("""COMPUTED_VALUE"""),TRUE)</f>
        <v>1</v>
      </c>
      <c r="H16" s="145" t="str">
        <f>IFERROR(__xludf.DUMMYFUNCTION("""COMPUTED_VALUE"""),"PE20")</f>
        <v>PE20</v>
      </c>
      <c r="K16" s="149" t="str">
        <f t="shared" si="3"/>
        <v>BARBAGELATA Liza   ok   PE20</v>
      </c>
    </row>
    <row r="17" ht="15.75" customHeight="1">
      <c r="A17" s="149" t="str">
        <f>IFERROR(__xludf.DUMMYFUNCTION("""COMPUTED_VALUE"""),"BAYLET RENE GEORGES")</f>
        <v>BAYLET RENE GEORGES</v>
      </c>
      <c r="B17" s="142" t="str">
        <f>IFERROR(__xludf.DUMMYFUNCTION("""COMPUTED_VALUE"""),"PA60 ")</f>
        <v>PA60 </v>
      </c>
      <c r="C17" s="151">
        <f>IFERROR(__xludf.DUMMYFUNCTION("""COMPUTED_VALUE"""),46046.0)</f>
        <v>46046</v>
      </c>
      <c r="D17" s="143" t="str">
        <f t="shared" si="1"/>
        <v>ok</v>
      </c>
      <c r="E17" s="149" t="str">
        <f t="shared" si="2"/>
        <v>BAYLET RENE GEORGES   ok</v>
      </c>
      <c r="F17" s="149" t="b">
        <f>IFERROR(__xludf.DUMMYFUNCTION("""COMPUTED_VALUE"""),TRUE)</f>
        <v>1</v>
      </c>
      <c r="G17" s="149" t="b">
        <f>IFERROR(__xludf.DUMMYFUNCTION("""COMPUTED_VALUE"""),TRUE)</f>
        <v>1</v>
      </c>
      <c r="H17" s="145" t="str">
        <f>IFERROR(__xludf.DUMMYFUNCTION("""COMPUTED_VALUE"""),"PA60 ")</f>
        <v>PA60 </v>
      </c>
      <c r="K17" s="149" t="str">
        <f t="shared" si="3"/>
        <v>BAYLET RENE GEORGES   ok   PA60 </v>
      </c>
    </row>
    <row r="18" ht="15.75" customHeight="1">
      <c r="A18" s="149" t="str">
        <f>IFERROR(__xludf.DUMMYFUNCTION("""COMPUTED_VALUE"""),"BENIER Armand")</f>
        <v>BENIER Armand</v>
      </c>
      <c r="B18" s="142" t="str">
        <f>IFERROR(__xludf.DUMMYFUNCTION("""COMPUTED_VALUE"""),"PE20")</f>
        <v>PE20</v>
      </c>
      <c r="C18" s="151">
        <f>IFERROR(__xludf.DUMMYFUNCTION("""COMPUTED_VALUE"""),46112.0)</f>
        <v>46112</v>
      </c>
      <c r="D18" s="143" t="str">
        <f t="shared" si="1"/>
        <v>ok</v>
      </c>
      <c r="E18" s="149" t="str">
        <f t="shared" si="2"/>
        <v>BENIER Armand   ok</v>
      </c>
      <c r="F18" s="149" t="b">
        <f>IFERROR(__xludf.DUMMYFUNCTION("""COMPUTED_VALUE"""),FALSE)</f>
        <v>0</v>
      </c>
      <c r="G18" s="149" t="b">
        <f>IFERROR(__xludf.DUMMYFUNCTION("""COMPUTED_VALUE"""),TRUE)</f>
        <v>1</v>
      </c>
      <c r="H18" s="145" t="str">
        <f>IFERROR(__xludf.DUMMYFUNCTION("""COMPUTED_VALUE"""),"PE20")</f>
        <v>PE20</v>
      </c>
      <c r="K18" s="149" t="str">
        <f t="shared" si="3"/>
        <v>BENIER Armand   ok   PE20</v>
      </c>
    </row>
    <row r="19" ht="15.75" customHeight="1">
      <c r="A19" s="149" t="str">
        <f>IFERROR(__xludf.DUMMYFUNCTION("""COMPUTED_VALUE"""),"BENZAQUEN Yohan")</f>
        <v>BENZAQUEN Yohan</v>
      </c>
      <c r="B19" s="142" t="str">
        <f>IFERROR(__xludf.DUMMYFUNCTION("""COMPUTED_VALUE"""),"PE20")</f>
        <v>PE20</v>
      </c>
      <c r="C19" s="151">
        <f>IFERROR(__xludf.DUMMYFUNCTION("""COMPUTED_VALUE"""),46213.0)</f>
        <v>46213</v>
      </c>
      <c r="D19" s="143" t="str">
        <f t="shared" si="1"/>
        <v>ok</v>
      </c>
      <c r="E19" s="149" t="str">
        <f t="shared" si="2"/>
        <v>BENZAQUEN Yohan   ok</v>
      </c>
      <c r="F19" s="149" t="b">
        <f>IFERROR(__xludf.DUMMYFUNCTION("""COMPUTED_VALUE"""),FALSE)</f>
        <v>0</v>
      </c>
      <c r="G19" s="149" t="b">
        <f>IFERROR(__xludf.DUMMYFUNCTION("""COMPUTED_VALUE"""),TRUE)</f>
        <v>1</v>
      </c>
      <c r="H19" s="145" t="str">
        <f>IFERROR(__xludf.DUMMYFUNCTION("""COMPUTED_VALUE"""),"PE20")</f>
        <v>PE20</v>
      </c>
      <c r="K19" s="149" t="str">
        <f t="shared" si="3"/>
        <v>BENZAQUEN Yohan   ok   PE20</v>
      </c>
    </row>
    <row r="20" ht="15.75" customHeight="1">
      <c r="A20" s="149" t="str">
        <f>IFERROR(__xludf.DUMMYFUNCTION("""COMPUTED_VALUE"""),"BESSAC Yann")</f>
        <v>BESSAC Yann</v>
      </c>
      <c r="B20" s="142" t="str">
        <f>IFERROR(__xludf.DUMMYFUNCTION("""COMPUTED_VALUE"""),"E2 ")</f>
        <v>E2 </v>
      </c>
      <c r="C20" s="151">
        <f>IFERROR(__xludf.DUMMYFUNCTION("""COMPUTED_VALUE"""),45940.0)</f>
        <v>45940</v>
      </c>
      <c r="D20" s="143" t="str">
        <f t="shared" si="1"/>
        <v>ok</v>
      </c>
      <c r="E20" s="149" t="str">
        <f t="shared" si="2"/>
        <v>BESSAC Yann   ok</v>
      </c>
      <c r="F20" s="149" t="b">
        <f>IFERROR(__xludf.DUMMYFUNCTION("""COMPUTED_VALUE"""),FALSE)</f>
        <v>0</v>
      </c>
      <c r="G20" s="149" t="b">
        <f>IFERROR(__xludf.DUMMYFUNCTION("""COMPUTED_VALUE"""),TRUE)</f>
        <v>1</v>
      </c>
      <c r="H20" s="145" t="str">
        <f>IFERROR(__xludf.DUMMYFUNCTION("""COMPUTED_VALUE"""),"E2 ")</f>
        <v>E2 </v>
      </c>
      <c r="K20" s="149" t="str">
        <f t="shared" si="3"/>
        <v>BESSAC Yann   ok   E2 </v>
      </c>
    </row>
    <row r="21" ht="15.75" customHeight="1">
      <c r="A21" s="149" t="str">
        <f>IFERROR(__xludf.DUMMYFUNCTION("""COMPUTED_VALUE"""),"BEZIAU MANUELA")</f>
        <v>BEZIAU MANUELA</v>
      </c>
      <c r="B21" s="142" t="str">
        <f>IFERROR(__xludf.DUMMYFUNCTION("""COMPUTED_VALUE"""),"PE40")</f>
        <v>PE40</v>
      </c>
      <c r="C21" s="151">
        <f>IFERROR(__xludf.DUMMYFUNCTION("""COMPUTED_VALUE"""),46235.0)</f>
        <v>46235</v>
      </c>
      <c r="D21" s="143" t="str">
        <f t="shared" si="1"/>
        <v>ok</v>
      </c>
      <c r="E21" s="149" t="str">
        <f t="shared" si="2"/>
        <v>BEZIAU MANUELA   ok</v>
      </c>
      <c r="F21" s="149" t="b">
        <f>IFERROR(__xludf.DUMMYFUNCTION("""COMPUTED_VALUE"""),TRUE)</f>
        <v>1</v>
      </c>
      <c r="G21" s="149" t="b">
        <f>IFERROR(__xludf.DUMMYFUNCTION("""COMPUTED_VALUE"""),TRUE)</f>
        <v>1</v>
      </c>
      <c r="H21" s="145" t="str">
        <f>IFERROR(__xludf.DUMMYFUNCTION("""COMPUTED_VALUE"""),"PE40")</f>
        <v>PE40</v>
      </c>
      <c r="K21" s="149" t="str">
        <f t="shared" si="3"/>
        <v>BEZIAU MANUELA   ok   PE40</v>
      </c>
    </row>
    <row r="22" ht="15.75" customHeight="1">
      <c r="A22" s="149" t="str">
        <f>IFERROR(__xludf.DUMMYFUNCTION("""COMPUTED_VALUE"""),"Bezis Lilian")</f>
        <v>Bezis Lilian</v>
      </c>
      <c r="B22" s="142" t="str">
        <f>IFERROR(__xludf.DUMMYFUNCTION("""COMPUTED_VALUE"""),"PE20")</f>
        <v>PE20</v>
      </c>
      <c r="C22" s="151">
        <f>IFERROR(__xludf.DUMMYFUNCTION("""COMPUTED_VALUE"""),46147.0)</f>
        <v>46147</v>
      </c>
      <c r="D22" s="143" t="str">
        <f t="shared" si="1"/>
        <v>ok</v>
      </c>
      <c r="E22" s="149" t="str">
        <f t="shared" si="2"/>
        <v>Bezis Lilian   ok</v>
      </c>
      <c r="F22" s="149" t="b">
        <f>IFERROR(__xludf.DUMMYFUNCTION("""COMPUTED_VALUE"""),TRUE)</f>
        <v>1</v>
      </c>
      <c r="G22" s="149" t="b">
        <f>IFERROR(__xludf.DUMMYFUNCTION("""COMPUTED_VALUE"""),TRUE)</f>
        <v>1</v>
      </c>
      <c r="H22" s="145" t="str">
        <f>IFERROR(__xludf.DUMMYFUNCTION("""COMPUTED_VALUE"""),"PE20")</f>
        <v>PE20</v>
      </c>
      <c r="K22" s="149" t="str">
        <f t="shared" si="3"/>
        <v>Bezis Lilian   ok   PE20</v>
      </c>
    </row>
    <row r="23" ht="15.75" customHeight="1">
      <c r="A23" s="149" t="str">
        <f>IFERROR(__xludf.DUMMYFUNCTION("""COMPUTED_VALUE"""),"BLANC FRANCOIS")</f>
        <v>BLANC FRANCOIS</v>
      </c>
      <c r="B23" s="142" t="str">
        <f>IFERROR(__xludf.DUMMYFUNCTION("""COMPUTED_VALUE"""),"PE40 PA20")</f>
        <v>PE40 PA20</v>
      </c>
      <c r="C23" s="151">
        <f>IFERROR(__xludf.DUMMYFUNCTION("""COMPUTED_VALUE"""),46046.0)</f>
        <v>46046</v>
      </c>
      <c r="D23" s="143" t="str">
        <f t="shared" si="1"/>
        <v>ok</v>
      </c>
      <c r="E23" s="149" t="str">
        <f t="shared" si="2"/>
        <v>BLANC FRANCOIS   ok</v>
      </c>
      <c r="F23" s="149" t="b">
        <f>IFERROR(__xludf.DUMMYFUNCTION("""COMPUTED_VALUE"""),TRUE)</f>
        <v>1</v>
      </c>
      <c r="G23" s="149" t="b">
        <f>IFERROR(__xludf.DUMMYFUNCTION("""COMPUTED_VALUE"""),TRUE)</f>
        <v>1</v>
      </c>
      <c r="H23" s="145" t="str">
        <f>IFERROR(__xludf.DUMMYFUNCTION("""COMPUTED_VALUE"""),"PE40 PA20")</f>
        <v>PE40 PA20</v>
      </c>
      <c r="K23" s="149" t="str">
        <f t="shared" si="3"/>
        <v>BLANC FRANCOIS   ok   PE40 PA20</v>
      </c>
    </row>
    <row r="24" ht="15.75" customHeight="1">
      <c r="A24" s="149" t="str">
        <f>IFERROR(__xludf.DUMMYFUNCTION("""COMPUTED_VALUE"""),"BLANC Sylvie")</f>
        <v>BLANC Sylvie</v>
      </c>
      <c r="B24" s="142" t="str">
        <f>IFERROR(__xludf.DUMMYFUNCTION("""COMPUTED_VALUE"""),"PA60")</f>
        <v>PA60</v>
      </c>
      <c r="C24" s="151">
        <f>IFERROR(__xludf.DUMMYFUNCTION("""COMPUTED_VALUE"""),46200.0)</f>
        <v>46200</v>
      </c>
      <c r="D24" s="143" t="str">
        <f t="shared" si="1"/>
        <v>ok</v>
      </c>
      <c r="E24" s="149" t="str">
        <f t="shared" si="2"/>
        <v>BLANC Sylvie   ok</v>
      </c>
      <c r="F24" s="149" t="b">
        <f>IFERROR(__xludf.DUMMYFUNCTION("""COMPUTED_VALUE"""),FALSE)</f>
        <v>0</v>
      </c>
      <c r="G24" s="149" t="b">
        <f>IFERROR(__xludf.DUMMYFUNCTION("""COMPUTED_VALUE"""),TRUE)</f>
        <v>1</v>
      </c>
      <c r="H24" s="145" t="str">
        <f>IFERROR(__xludf.DUMMYFUNCTION("""COMPUTED_VALUE"""),"PA60")</f>
        <v>PA60</v>
      </c>
      <c r="K24" s="149" t="str">
        <f t="shared" si="3"/>
        <v>BLANC Sylvie   ok   PA60</v>
      </c>
    </row>
    <row r="25" ht="15.75" customHeight="1">
      <c r="A25" s="149" t="str">
        <f>IFERROR(__xludf.DUMMYFUNCTION("""COMPUTED_VALUE"""),"Bloise Nardelli  LENNY")</f>
        <v>Bloise Nardelli  LENNY</v>
      </c>
      <c r="B25" s="142" t="str">
        <f>IFERROR(__xludf.DUMMYFUNCTION("""COMPUTED_VALUE"""),"PE20")</f>
        <v>PE20</v>
      </c>
      <c r="C25" s="151">
        <f>IFERROR(__xludf.DUMMYFUNCTION("""COMPUTED_VALUE"""),46136.0)</f>
        <v>46136</v>
      </c>
      <c r="D25" s="143" t="str">
        <f t="shared" si="1"/>
        <v>ok</v>
      </c>
      <c r="E25" s="149" t="str">
        <f t="shared" si="2"/>
        <v>Bloise Nardelli  LENNY   ok</v>
      </c>
      <c r="F25" s="149" t="b">
        <f>IFERROR(__xludf.DUMMYFUNCTION("""COMPUTED_VALUE"""),FALSE)</f>
        <v>0</v>
      </c>
      <c r="G25" s="149" t="b">
        <f>IFERROR(__xludf.DUMMYFUNCTION("""COMPUTED_VALUE"""),TRUE)</f>
        <v>1</v>
      </c>
      <c r="H25" s="145" t="str">
        <f>IFERROR(__xludf.DUMMYFUNCTION("""COMPUTED_VALUE"""),"PE20")</f>
        <v>PE20</v>
      </c>
      <c r="K25" s="149" t="str">
        <f t="shared" si="3"/>
        <v>Bloise Nardelli  LENNY   ok   PE20</v>
      </c>
    </row>
    <row r="26" ht="15.75" customHeight="1">
      <c r="A26" s="149" t="str">
        <f>IFERROR(__xludf.DUMMYFUNCTION("""COMPUTED_VALUE"""),"Blondel marion")</f>
        <v>Blondel marion</v>
      </c>
      <c r="B26" s="142" t="str">
        <f>IFERROR(__xludf.DUMMYFUNCTION("""COMPUTED_VALUE"""),"PE20")</f>
        <v>PE20</v>
      </c>
      <c r="C26" s="151">
        <f>IFERROR(__xludf.DUMMYFUNCTION("""COMPUTED_VALUE"""),46127.0)</f>
        <v>46127</v>
      </c>
      <c r="D26" s="143" t="str">
        <f t="shared" si="1"/>
        <v>ok</v>
      </c>
      <c r="E26" s="149" t="str">
        <f t="shared" si="2"/>
        <v>Blondel marion   ok</v>
      </c>
      <c r="F26" s="149" t="b">
        <f>IFERROR(__xludf.DUMMYFUNCTION("""COMPUTED_VALUE"""),TRUE)</f>
        <v>1</v>
      </c>
      <c r="G26" s="149" t="b">
        <f>IFERROR(__xludf.DUMMYFUNCTION("""COMPUTED_VALUE"""),TRUE)</f>
        <v>1</v>
      </c>
      <c r="H26" s="145" t="str">
        <f>IFERROR(__xludf.DUMMYFUNCTION("""COMPUTED_VALUE"""),"PE20")</f>
        <v>PE20</v>
      </c>
      <c r="K26" s="149" t="str">
        <f t="shared" si="3"/>
        <v>Blondel marion   ok   PE20</v>
      </c>
    </row>
    <row r="27" ht="15.75" customHeight="1">
      <c r="A27" s="149" t="str">
        <f>IFERROR(__xludf.DUMMYFUNCTION("""COMPUTED_VALUE"""),"BOETSCH MANUELA")</f>
        <v>BOETSCH MANUELA</v>
      </c>
      <c r="B27" s="142" t="str">
        <f>IFERROR(__xludf.DUMMYFUNCTION("""COMPUTED_VALUE"""),"E3")</f>
        <v>E3</v>
      </c>
      <c r="C27" s="151">
        <f>IFERROR(__xludf.DUMMYFUNCTION("""COMPUTED_VALUE"""),46141.0)</f>
        <v>46141</v>
      </c>
      <c r="D27" s="143" t="str">
        <f t="shared" si="1"/>
        <v>ok</v>
      </c>
      <c r="E27" s="149" t="str">
        <f t="shared" si="2"/>
        <v>BOETSCH MANUELA   ok</v>
      </c>
      <c r="F27" s="149" t="b">
        <f>IFERROR(__xludf.DUMMYFUNCTION("""COMPUTED_VALUE"""),TRUE)</f>
        <v>1</v>
      </c>
      <c r="G27" s="149" t="b">
        <f>IFERROR(__xludf.DUMMYFUNCTION("""COMPUTED_VALUE"""),TRUE)</f>
        <v>1</v>
      </c>
      <c r="H27" s="145" t="str">
        <f>IFERROR(__xludf.DUMMYFUNCTION("""COMPUTED_VALUE"""),"E3")</f>
        <v>E3</v>
      </c>
      <c r="K27" s="149" t="str">
        <f t="shared" si="3"/>
        <v>BOETSCH MANUELA   ok   E3</v>
      </c>
    </row>
    <row r="28" ht="15.75" customHeight="1">
      <c r="A28" s="149" t="str">
        <f>IFERROR(__xludf.DUMMYFUNCTION("""COMPUTED_VALUE"""),"BONO AMANDINE")</f>
        <v>BONO AMANDINE</v>
      </c>
      <c r="B28" s="142" t="str">
        <f>IFERROR(__xludf.DUMMYFUNCTION("""COMPUTED_VALUE"""),"PE40")</f>
        <v>PE40</v>
      </c>
      <c r="C28" s="151">
        <f>IFERROR(__xludf.DUMMYFUNCTION("""COMPUTED_VALUE"""),46135.0)</f>
        <v>46135</v>
      </c>
      <c r="D28" s="143" t="str">
        <f t="shared" si="1"/>
        <v>ok</v>
      </c>
      <c r="E28" s="149" t="str">
        <f t="shared" si="2"/>
        <v>BONO AMANDINE   ok</v>
      </c>
      <c r="F28" s="149" t="b">
        <f>IFERROR(__xludf.DUMMYFUNCTION("""COMPUTED_VALUE"""),TRUE)</f>
        <v>1</v>
      </c>
      <c r="G28" s="149" t="b">
        <f>IFERROR(__xludf.DUMMYFUNCTION("""COMPUTED_VALUE"""),TRUE)</f>
        <v>1</v>
      </c>
      <c r="H28" s="145" t="str">
        <f>IFERROR(__xludf.DUMMYFUNCTION("""COMPUTED_VALUE"""),"PE40")</f>
        <v>PE40</v>
      </c>
      <c r="K28" s="149" t="str">
        <f t="shared" si="3"/>
        <v>BONO AMANDINE   ok   PE40</v>
      </c>
    </row>
    <row r="29" ht="15.75" customHeight="1">
      <c r="A29" s="149" t="str">
        <f>IFERROR(__xludf.DUMMYFUNCTION("""COMPUTED_VALUE"""),"BONO PHILIPPE")</f>
        <v>BONO PHILIPPE</v>
      </c>
      <c r="B29" s="142" t="str">
        <f>IFERROR(__xludf.DUMMYFUNCTION("""COMPUTED_VALUE"""),"PA60  ")</f>
        <v>PA60  </v>
      </c>
      <c r="C29" s="151">
        <f>IFERROR(__xludf.DUMMYFUNCTION("""COMPUTED_VALUE"""),46080.0)</f>
        <v>46080</v>
      </c>
      <c r="D29" s="143" t="str">
        <f t="shared" si="1"/>
        <v>ok</v>
      </c>
      <c r="E29" s="149" t="str">
        <f t="shared" si="2"/>
        <v>BONO PHILIPPE   ok</v>
      </c>
      <c r="F29" s="149" t="b">
        <f>IFERROR(__xludf.DUMMYFUNCTION("""COMPUTED_VALUE"""),TRUE)</f>
        <v>1</v>
      </c>
      <c r="G29" s="149" t="b">
        <f>IFERROR(__xludf.DUMMYFUNCTION("""COMPUTED_VALUE"""),TRUE)</f>
        <v>1</v>
      </c>
      <c r="H29" s="145" t="str">
        <f>IFERROR(__xludf.DUMMYFUNCTION("""COMPUTED_VALUE"""),"PA60  ")</f>
        <v>PA60  </v>
      </c>
      <c r="K29" s="149" t="str">
        <f t="shared" si="3"/>
        <v>BONO PHILIPPE   ok   PA60  </v>
      </c>
    </row>
    <row r="30" ht="15.75" customHeight="1">
      <c r="A30" s="149" t="str">
        <f>IFERROR(__xludf.DUMMYFUNCTION("""COMPUTED_VALUE"""),"BONO REMI")</f>
        <v>BONO REMI</v>
      </c>
      <c r="B30" s="142" t="str">
        <f>IFERROR(__xludf.DUMMYFUNCTION("""COMPUTED_VALUE"""),"PE40")</f>
        <v>PE40</v>
      </c>
      <c r="C30" s="151">
        <f>IFERROR(__xludf.DUMMYFUNCTION("""COMPUTED_VALUE"""),46115.0)</f>
        <v>46115</v>
      </c>
      <c r="D30" s="143" t="str">
        <f t="shared" si="1"/>
        <v>ok</v>
      </c>
      <c r="E30" s="149" t="str">
        <f t="shared" si="2"/>
        <v>BONO REMI   ok</v>
      </c>
      <c r="F30" s="149" t="b">
        <f>IFERROR(__xludf.DUMMYFUNCTION("""COMPUTED_VALUE"""),TRUE)</f>
        <v>1</v>
      </c>
      <c r="G30" s="149" t="b">
        <f>IFERROR(__xludf.DUMMYFUNCTION("""COMPUTED_VALUE"""),TRUE)</f>
        <v>1</v>
      </c>
      <c r="H30" s="145" t="str">
        <f>IFERROR(__xludf.DUMMYFUNCTION("""COMPUTED_VALUE"""),"PE40")</f>
        <v>PE40</v>
      </c>
      <c r="K30" s="149" t="str">
        <f t="shared" si="3"/>
        <v>BONO REMI   ok   PE40</v>
      </c>
    </row>
    <row r="31" ht="15.75" customHeight="1">
      <c r="A31" s="149" t="str">
        <f>IFERROR(__xludf.DUMMYFUNCTION("""COMPUTED_VALUE"""),"BORRELLI FANNY")</f>
        <v>BORRELLI FANNY</v>
      </c>
      <c r="B31" s="142" t="str">
        <f>IFERROR(__xludf.DUMMYFUNCTION("""COMPUTED_VALUE"""),"PE40 PA20")</f>
        <v>PE40 PA20</v>
      </c>
      <c r="C31" s="151">
        <f>IFERROR(__xludf.DUMMYFUNCTION("""COMPUTED_VALUE"""),46220.0)</f>
        <v>46220</v>
      </c>
      <c r="D31" s="143" t="str">
        <f t="shared" si="1"/>
        <v>ok</v>
      </c>
      <c r="E31" s="149" t="str">
        <f t="shared" si="2"/>
        <v>BORRELLI FANNY   ok</v>
      </c>
      <c r="F31" s="149" t="b">
        <f>IFERROR(__xludf.DUMMYFUNCTION("""COMPUTED_VALUE"""),TRUE)</f>
        <v>1</v>
      </c>
      <c r="G31" s="149" t="b">
        <f>IFERROR(__xludf.DUMMYFUNCTION("""COMPUTED_VALUE"""),TRUE)</f>
        <v>1</v>
      </c>
      <c r="H31" s="145" t="str">
        <f>IFERROR(__xludf.DUMMYFUNCTION("""COMPUTED_VALUE"""),"PE40 PA20")</f>
        <v>PE40 PA20</v>
      </c>
      <c r="K31" s="149" t="str">
        <f t="shared" si="3"/>
        <v>BORRELLI FANNY   ok   PE40 PA20</v>
      </c>
    </row>
    <row r="32" ht="15.75" customHeight="1">
      <c r="A32" s="149" t="str">
        <f>IFERROR(__xludf.DUMMYFUNCTION("""COMPUTED_VALUE"""),"BOURRET RODOLPHE")</f>
        <v>BOURRET RODOLPHE</v>
      </c>
      <c r="B32" s="142" t="str">
        <f>IFERROR(__xludf.DUMMYFUNCTION("""COMPUTED_VALUE"""),"E2")</f>
        <v>E2</v>
      </c>
      <c r="C32" s="151">
        <f>IFERROR(__xludf.DUMMYFUNCTION("""COMPUTED_VALUE"""),46170.0)</f>
        <v>46170</v>
      </c>
      <c r="D32" s="143" t="str">
        <f t="shared" si="1"/>
        <v>ok</v>
      </c>
      <c r="E32" s="149" t="str">
        <f t="shared" si="2"/>
        <v>BOURRET RODOLPHE   ok</v>
      </c>
      <c r="F32" s="149" t="b">
        <f>IFERROR(__xludf.DUMMYFUNCTION("""COMPUTED_VALUE"""),FALSE)</f>
        <v>0</v>
      </c>
      <c r="G32" s="149" t="b">
        <f>IFERROR(__xludf.DUMMYFUNCTION("""COMPUTED_VALUE"""),TRUE)</f>
        <v>1</v>
      </c>
      <c r="H32" s="145" t="str">
        <f>IFERROR(__xludf.DUMMYFUNCTION("""COMPUTED_VALUE"""),"E2")</f>
        <v>E2</v>
      </c>
      <c r="K32" s="149" t="str">
        <f t="shared" si="3"/>
        <v>BOURRET RODOLPHE   ok   E2</v>
      </c>
    </row>
    <row r="33" ht="15.75" customHeight="1">
      <c r="A33" s="149" t="str">
        <f>IFERROR(__xludf.DUMMYFUNCTION("""COMPUTED_VALUE"""),"CABREJAS Philippe")</f>
        <v>CABREJAS Philippe</v>
      </c>
      <c r="B33" s="142" t="str">
        <f>IFERROR(__xludf.DUMMYFUNCTION("""COMPUTED_VALUE"""),"PA60")</f>
        <v>PA60</v>
      </c>
      <c r="C33" s="151">
        <f>IFERROR(__xludf.DUMMYFUNCTION("""COMPUTED_VALUE"""),45901.0)</f>
        <v>45901</v>
      </c>
      <c r="D33" s="143" t="str">
        <f t="shared" si="1"/>
        <v>ko</v>
      </c>
      <c r="E33" s="149" t="str">
        <f t="shared" si="2"/>
        <v>CABREJAS Philippe   ko</v>
      </c>
      <c r="F33" s="149" t="b">
        <f>IFERROR(__xludf.DUMMYFUNCTION("""COMPUTED_VALUE"""),FALSE)</f>
        <v>0</v>
      </c>
      <c r="G33" s="149" t="b">
        <f>IFERROR(__xludf.DUMMYFUNCTION("""COMPUTED_VALUE"""),TRUE)</f>
        <v>1</v>
      </c>
      <c r="H33" s="145" t="str">
        <f>IFERROR(__xludf.DUMMYFUNCTION("""COMPUTED_VALUE"""),"PA60")</f>
        <v>PA60</v>
      </c>
      <c r="K33" s="149" t="str">
        <f t="shared" si="3"/>
        <v>CABREJAS Philippe   ko   PA60</v>
      </c>
    </row>
    <row r="34" ht="15.75" customHeight="1">
      <c r="A34" s="149" t="str">
        <f>IFERROR(__xludf.DUMMYFUNCTION("""COMPUTED_VALUE"""),"Calderaro Gaetan")</f>
        <v>Calderaro Gaetan</v>
      </c>
      <c r="B34" s="142" t="str">
        <f>IFERROR(__xludf.DUMMYFUNCTION("""COMPUTED_VALUE"""),"PE20")</f>
        <v>PE20</v>
      </c>
      <c r="C34" s="151">
        <f>IFERROR(__xludf.DUMMYFUNCTION("""COMPUTED_VALUE"""),46120.0)</f>
        <v>46120</v>
      </c>
      <c r="D34" s="143" t="str">
        <f t="shared" si="1"/>
        <v>ok</v>
      </c>
      <c r="E34" s="149" t="str">
        <f t="shared" si="2"/>
        <v>Calderaro Gaetan   ok</v>
      </c>
      <c r="F34" s="149" t="b">
        <f>IFERROR(__xludf.DUMMYFUNCTION("""COMPUTED_VALUE"""),FALSE)</f>
        <v>0</v>
      </c>
      <c r="G34" s="149" t="b">
        <f>IFERROR(__xludf.DUMMYFUNCTION("""COMPUTED_VALUE"""),TRUE)</f>
        <v>1</v>
      </c>
      <c r="H34" s="145" t="str">
        <f>IFERROR(__xludf.DUMMYFUNCTION("""COMPUTED_VALUE"""),"PE20")</f>
        <v>PE20</v>
      </c>
      <c r="K34" s="149" t="str">
        <f t="shared" si="3"/>
        <v>Calderaro Gaetan   ok   PE20</v>
      </c>
    </row>
    <row r="35" ht="15.75" customHeight="1">
      <c r="A35" s="149" t="str">
        <f>IFERROR(__xludf.DUMMYFUNCTION("""COMPUTED_VALUE"""),"CANY Stephan")</f>
        <v>CANY Stephan</v>
      </c>
      <c r="B35" s="142" t="str">
        <f>IFERROR(__xludf.DUMMYFUNCTION("""COMPUTED_VALUE"""),"non plongeur")</f>
        <v>non plongeur</v>
      </c>
      <c r="C35" s="151">
        <f>IFERROR(__xludf.DUMMYFUNCTION("""COMPUTED_VALUE"""),45547.0)</f>
        <v>45547</v>
      </c>
      <c r="D35" s="143" t="str">
        <f t="shared" si="1"/>
        <v>ko</v>
      </c>
      <c r="E35" s="149" t="str">
        <f t="shared" si="2"/>
        <v>CANY Stephan   ko</v>
      </c>
      <c r="F35" s="149" t="b">
        <f>IFERROR(__xludf.DUMMYFUNCTION("""COMPUTED_VALUE"""),TRUE)</f>
        <v>1</v>
      </c>
      <c r="G35" s="149" t="b">
        <f>IFERROR(__xludf.DUMMYFUNCTION("""COMPUTED_VALUE"""),TRUE)</f>
        <v>1</v>
      </c>
      <c r="H35" s="145" t="str">
        <f>IFERROR(__xludf.DUMMYFUNCTION("""COMPUTED_VALUE"""),"non plongeur")</f>
        <v>non plongeur</v>
      </c>
      <c r="K35" s="149" t="str">
        <f t="shared" si="3"/>
        <v>CANY Stephan   ko   non plongeur</v>
      </c>
    </row>
    <row r="36" ht="15.75" customHeight="1">
      <c r="A36" s="149" t="str">
        <f>IFERROR(__xludf.DUMMYFUNCTION("""COMPUTED_VALUE"""),"CARAMELLO GUILLAUME")</f>
        <v>CARAMELLO GUILLAUME</v>
      </c>
      <c r="B36" s="142" t="str">
        <f>IFERROR(__xludf.DUMMYFUNCTION("""COMPUTED_VALUE"""),"PE40 PA20")</f>
        <v>PE40 PA20</v>
      </c>
      <c r="C36" s="151">
        <f>IFERROR(__xludf.DUMMYFUNCTION("""COMPUTED_VALUE"""),45902.0)</f>
        <v>45902</v>
      </c>
      <c r="D36" s="143" t="str">
        <f t="shared" si="1"/>
        <v>ko</v>
      </c>
      <c r="E36" s="149" t="str">
        <f t="shared" si="2"/>
        <v>CARAMELLO GUILLAUME   ko</v>
      </c>
      <c r="F36" s="149" t="b">
        <f>IFERROR(__xludf.DUMMYFUNCTION("""COMPUTED_VALUE"""),TRUE)</f>
        <v>1</v>
      </c>
      <c r="G36" s="149" t="b">
        <f>IFERROR(__xludf.DUMMYFUNCTION("""COMPUTED_VALUE"""),TRUE)</f>
        <v>1</v>
      </c>
      <c r="H36" s="145" t="str">
        <f>IFERROR(__xludf.DUMMYFUNCTION("""COMPUTED_VALUE"""),"PE40 PA20")</f>
        <v>PE40 PA20</v>
      </c>
      <c r="K36" s="149" t="str">
        <f t="shared" si="3"/>
        <v>CARAMELLO GUILLAUME   ko   PE40 PA20</v>
      </c>
    </row>
    <row r="37" ht="15.75" customHeight="1">
      <c r="A37" s="149" t="str">
        <f>IFERROR(__xludf.DUMMYFUNCTION("""COMPUTED_VALUE"""),"CEBE Amélie")</f>
        <v>CEBE Amélie</v>
      </c>
      <c r="B37" s="142" t="str">
        <f>IFERROR(__xludf.DUMMYFUNCTION("""COMPUTED_VALUE"""),"PE40 PA20")</f>
        <v>PE40 PA20</v>
      </c>
      <c r="C37" s="151">
        <f>IFERROR(__xludf.DUMMYFUNCTION("""COMPUTED_VALUE"""),46256.0)</f>
        <v>46256</v>
      </c>
      <c r="D37" s="143" t="str">
        <f t="shared" si="1"/>
        <v>ok</v>
      </c>
      <c r="E37" s="149" t="str">
        <f t="shared" si="2"/>
        <v>CEBE Amélie   ok</v>
      </c>
      <c r="F37" s="149" t="b">
        <f>IFERROR(__xludf.DUMMYFUNCTION("""COMPUTED_VALUE"""),FALSE)</f>
        <v>0</v>
      </c>
      <c r="G37" s="149" t="b">
        <f>IFERROR(__xludf.DUMMYFUNCTION("""COMPUTED_VALUE"""),TRUE)</f>
        <v>1</v>
      </c>
      <c r="H37" s="145" t="str">
        <f>IFERROR(__xludf.DUMMYFUNCTION("""COMPUTED_VALUE"""),"PE40 PA20")</f>
        <v>PE40 PA20</v>
      </c>
      <c r="K37" s="149" t="str">
        <f t="shared" si="3"/>
        <v>CEBE Amélie   ok   PE40 PA20</v>
      </c>
    </row>
    <row r="38" ht="15.75" customHeight="1">
      <c r="A38" s="149" t="str">
        <f>IFERROR(__xludf.DUMMYFUNCTION("""COMPUTED_VALUE"""),"CHAUVE FRANCOIS")</f>
        <v>CHAUVE FRANCOIS</v>
      </c>
      <c r="B38" s="142" t="str">
        <f>IFERROR(__xludf.DUMMYFUNCTION("""COMPUTED_VALUE"""),"PA60  ")</f>
        <v>PA60  </v>
      </c>
      <c r="C38" s="151">
        <f>IFERROR(__xludf.DUMMYFUNCTION("""COMPUTED_VALUE"""),46073.0)</f>
        <v>46073</v>
      </c>
      <c r="D38" s="143" t="str">
        <f t="shared" si="1"/>
        <v>ok</v>
      </c>
      <c r="E38" s="149" t="str">
        <f t="shared" si="2"/>
        <v>CHAUVE FRANCOIS   ok</v>
      </c>
      <c r="F38" s="149" t="b">
        <f>IFERROR(__xludf.DUMMYFUNCTION("""COMPUTED_VALUE"""),TRUE)</f>
        <v>1</v>
      </c>
      <c r="G38" s="149" t="b">
        <f>IFERROR(__xludf.DUMMYFUNCTION("""COMPUTED_VALUE"""),TRUE)</f>
        <v>1</v>
      </c>
      <c r="H38" s="145" t="str">
        <f>IFERROR(__xludf.DUMMYFUNCTION("""COMPUTED_VALUE"""),"PA60  ")</f>
        <v>PA60  </v>
      </c>
      <c r="K38" s="149" t="str">
        <f t="shared" si="3"/>
        <v>CHAUVE FRANCOIS   ok   PA60  </v>
      </c>
    </row>
    <row r="39" ht="15.75" customHeight="1">
      <c r="A39" s="149" t="str">
        <f>IFERROR(__xludf.DUMMYFUNCTION("""COMPUTED_VALUE"""),"CHEVROTON Matthias")</f>
        <v>CHEVROTON Matthias</v>
      </c>
      <c r="B39" s="142" t="str">
        <f>IFERROR(__xludf.DUMMYFUNCTION("""COMPUTED_VALUE"""),"N1")</f>
        <v>N1</v>
      </c>
      <c r="C39" s="151">
        <f>IFERROR(__xludf.DUMMYFUNCTION("""COMPUTED_VALUE"""),46217.0)</f>
        <v>46217</v>
      </c>
      <c r="D39" s="143" t="str">
        <f t="shared" si="1"/>
        <v>ok</v>
      </c>
      <c r="E39" s="149" t="str">
        <f t="shared" si="2"/>
        <v>CHEVROTON Matthias   ok</v>
      </c>
      <c r="F39" s="149" t="b">
        <f>IFERROR(__xludf.DUMMYFUNCTION("""COMPUTED_VALUE"""),FALSE)</f>
        <v>0</v>
      </c>
      <c r="G39" s="149" t="b">
        <f>IFERROR(__xludf.DUMMYFUNCTION("""COMPUTED_VALUE"""),TRUE)</f>
        <v>1</v>
      </c>
      <c r="H39" s="145" t="str">
        <f>IFERROR(__xludf.DUMMYFUNCTION("""COMPUTED_VALUE"""),"N1")</f>
        <v>N1</v>
      </c>
      <c r="K39" s="149" t="str">
        <f t="shared" si="3"/>
        <v>CHEVROTON Matthias   ok   N1</v>
      </c>
    </row>
    <row r="40" ht="15.75" customHeight="1">
      <c r="A40" s="149" t="str">
        <f>IFERROR(__xludf.DUMMYFUNCTION("""COMPUTED_VALUE"""),"CIREAU BAPTISTE")</f>
        <v>CIREAU BAPTISTE</v>
      </c>
      <c r="B40" s="142" t="str">
        <f>IFERROR(__xludf.DUMMYFUNCTION("""COMPUTED_VALUE"""),"PE40")</f>
        <v>PE40</v>
      </c>
      <c r="C40" s="151">
        <f>IFERROR(__xludf.DUMMYFUNCTION("""COMPUTED_VALUE"""),46149.0)</f>
        <v>46149</v>
      </c>
      <c r="D40" s="143" t="str">
        <f t="shared" si="1"/>
        <v>ok</v>
      </c>
      <c r="E40" s="149" t="str">
        <f t="shared" si="2"/>
        <v>CIREAU BAPTISTE   ok</v>
      </c>
      <c r="F40" s="149" t="b">
        <f>IFERROR(__xludf.DUMMYFUNCTION("""COMPUTED_VALUE"""),TRUE)</f>
        <v>1</v>
      </c>
      <c r="G40" s="149" t="b">
        <f>IFERROR(__xludf.DUMMYFUNCTION("""COMPUTED_VALUE"""),TRUE)</f>
        <v>1</v>
      </c>
      <c r="H40" s="145" t="str">
        <f>IFERROR(__xludf.DUMMYFUNCTION("""COMPUTED_VALUE"""),"PE40")</f>
        <v>PE40</v>
      </c>
      <c r="K40" s="149" t="str">
        <f t="shared" si="3"/>
        <v>CIREAU BAPTISTE   ok   PE40</v>
      </c>
    </row>
    <row r="41" ht="15.75" customHeight="1">
      <c r="A41" s="149" t="str">
        <f>IFERROR(__xludf.DUMMYFUNCTION("""COMPUTED_VALUE"""),"COMPAGNON  Catherine")</f>
        <v>COMPAGNON  Catherine</v>
      </c>
      <c r="B41" s="142" t="str">
        <f>IFERROR(__xludf.DUMMYFUNCTION("""COMPUTED_VALUE"""),"PA60  ")</f>
        <v>PA60  </v>
      </c>
      <c r="C41" s="151">
        <f>IFERROR(__xludf.DUMMYFUNCTION("""COMPUTED_VALUE"""),46199.0)</f>
        <v>46199</v>
      </c>
      <c r="D41" s="143" t="str">
        <f t="shared" si="1"/>
        <v>ok</v>
      </c>
      <c r="E41" s="149" t="str">
        <f t="shared" si="2"/>
        <v>COMPAGNON  Catherine   ok</v>
      </c>
      <c r="F41" s="149" t="b">
        <f>IFERROR(__xludf.DUMMYFUNCTION("""COMPUTED_VALUE"""),TRUE)</f>
        <v>1</v>
      </c>
      <c r="G41" s="149" t="b">
        <f>IFERROR(__xludf.DUMMYFUNCTION("""COMPUTED_VALUE"""),TRUE)</f>
        <v>1</v>
      </c>
      <c r="H41" s="145" t="str">
        <f>IFERROR(__xludf.DUMMYFUNCTION("""COMPUTED_VALUE"""),"PA60  ")</f>
        <v>PA60  </v>
      </c>
      <c r="K41" s="149" t="str">
        <f t="shared" si="3"/>
        <v>COMPAGNON  Catherine   ok   PA60  </v>
      </c>
    </row>
    <row r="42" ht="15.75" customHeight="1">
      <c r="A42" s="149" t="str">
        <f>IFERROR(__xludf.DUMMYFUNCTION("""COMPUTED_VALUE"""),"COMPAGNON Franck")</f>
        <v>COMPAGNON Franck</v>
      </c>
      <c r="B42" s="142" t="str">
        <f>IFERROR(__xludf.DUMMYFUNCTION("""COMPUTED_VALUE"""),"E2 P5")</f>
        <v>E2 P5</v>
      </c>
      <c r="C42" s="151">
        <f>IFERROR(__xludf.DUMMYFUNCTION("""COMPUTED_VALUE"""),46119.0)</f>
        <v>46119</v>
      </c>
      <c r="D42" s="143" t="str">
        <f t="shared" si="1"/>
        <v>ok</v>
      </c>
      <c r="E42" s="149" t="str">
        <f t="shared" si="2"/>
        <v>COMPAGNON Franck   ok</v>
      </c>
      <c r="F42" s="149" t="b">
        <f>IFERROR(__xludf.DUMMYFUNCTION("""COMPUTED_VALUE"""),TRUE)</f>
        <v>1</v>
      </c>
      <c r="G42" s="149" t="b">
        <f>IFERROR(__xludf.DUMMYFUNCTION("""COMPUTED_VALUE"""),TRUE)</f>
        <v>1</v>
      </c>
      <c r="H42" s="145" t="str">
        <f>IFERROR(__xludf.DUMMYFUNCTION("""COMPUTED_VALUE"""),"E2 P5")</f>
        <v>E2 P5</v>
      </c>
      <c r="K42" s="149" t="str">
        <f t="shared" si="3"/>
        <v>COMPAGNON Franck   ok   E2 P5</v>
      </c>
    </row>
    <row r="43" ht="15.75" customHeight="1">
      <c r="A43" s="149" t="str">
        <f>IFERROR(__xludf.DUMMYFUNCTION("""COMPUTED_VALUE"""),"Courtillé	Margaux")</f>
        <v>Courtillé	Margaux</v>
      </c>
      <c r="B43" s="142" t="str">
        <f>IFERROR(__xludf.DUMMYFUNCTION("""COMPUTED_VALUE"""),"PE20")</f>
        <v>PE20</v>
      </c>
      <c r="C43" s="151">
        <f>IFERROR(__xludf.DUMMYFUNCTION("""COMPUTED_VALUE"""),46163.0)</f>
        <v>46163</v>
      </c>
      <c r="D43" s="143" t="str">
        <f t="shared" si="1"/>
        <v>ok</v>
      </c>
      <c r="E43" s="149" t="str">
        <f t="shared" si="2"/>
        <v>Courtillé	Margaux   ok</v>
      </c>
      <c r="F43" s="149" t="b">
        <f>IFERROR(__xludf.DUMMYFUNCTION("""COMPUTED_VALUE"""),FALSE)</f>
        <v>0</v>
      </c>
      <c r="G43" s="149" t="b">
        <f>IFERROR(__xludf.DUMMYFUNCTION("""COMPUTED_VALUE"""),TRUE)</f>
        <v>1</v>
      </c>
      <c r="H43" s="145" t="str">
        <f>IFERROR(__xludf.DUMMYFUNCTION("""COMPUTED_VALUE"""),"PE20")</f>
        <v>PE20</v>
      </c>
      <c r="K43" s="149" t="str">
        <f t="shared" si="3"/>
        <v>Courtillé	Margaux   ok   PE20</v>
      </c>
    </row>
    <row r="44" ht="15.75" customHeight="1">
      <c r="A44" s="149" t="str">
        <f>IFERROR(__xludf.DUMMYFUNCTION("""COMPUTED_VALUE"""),"CULLY JEAN-BAPTISTE")</f>
        <v>CULLY JEAN-BAPTISTE</v>
      </c>
      <c r="B44" s="142" t="str">
        <f>IFERROR(__xludf.DUMMYFUNCTION("""COMPUTED_VALUE"""),"PE40 PA20")</f>
        <v>PE40 PA20</v>
      </c>
      <c r="C44" s="151">
        <f>IFERROR(__xludf.DUMMYFUNCTION("""COMPUTED_VALUE"""),46079.0)</f>
        <v>46079</v>
      </c>
      <c r="D44" s="143" t="str">
        <f t="shared" si="1"/>
        <v>ok</v>
      </c>
      <c r="E44" s="149" t="str">
        <f t="shared" si="2"/>
        <v>CULLY JEAN-BAPTISTE   ok</v>
      </c>
      <c r="F44" s="149" t="b">
        <f>IFERROR(__xludf.DUMMYFUNCTION("""COMPUTED_VALUE"""),TRUE)</f>
        <v>1</v>
      </c>
      <c r="G44" s="149" t="b">
        <f>IFERROR(__xludf.DUMMYFUNCTION("""COMPUTED_VALUE"""),TRUE)</f>
        <v>1</v>
      </c>
      <c r="H44" s="145" t="str">
        <f>IFERROR(__xludf.DUMMYFUNCTION("""COMPUTED_VALUE"""),"PE40 PA20")</f>
        <v>PE40 PA20</v>
      </c>
      <c r="K44" s="149" t="str">
        <f t="shared" si="3"/>
        <v>CULLY JEAN-BAPTISTE   ok   PE40 PA20</v>
      </c>
    </row>
    <row r="45" ht="15.75" customHeight="1">
      <c r="A45" s="149" t="str">
        <f>IFERROR(__xludf.DUMMYFUNCTION("""COMPUTED_VALUE"""),"DABBENE MARCEL")</f>
        <v>DABBENE MARCEL</v>
      </c>
      <c r="B45" s="142" t="str">
        <f>IFERROR(__xludf.DUMMYFUNCTION("""COMPUTED_VALUE"""),"GP P5")</f>
        <v>GP P5</v>
      </c>
      <c r="C45" s="151">
        <f>IFERROR(__xludf.DUMMYFUNCTION("""COMPUTED_VALUE"""),46084.0)</f>
        <v>46084</v>
      </c>
      <c r="D45" s="143" t="str">
        <f t="shared" si="1"/>
        <v>ok</v>
      </c>
      <c r="E45" s="149" t="str">
        <f t="shared" si="2"/>
        <v>DABBENE MARCEL   ok</v>
      </c>
      <c r="F45" s="149" t="b">
        <f>IFERROR(__xludf.DUMMYFUNCTION("""COMPUTED_VALUE"""),TRUE)</f>
        <v>1</v>
      </c>
      <c r="G45" s="149" t="b">
        <f>IFERROR(__xludf.DUMMYFUNCTION("""COMPUTED_VALUE"""),TRUE)</f>
        <v>1</v>
      </c>
      <c r="H45" s="145" t="str">
        <f>IFERROR(__xludf.DUMMYFUNCTION("""COMPUTED_VALUE"""),"GP P5")</f>
        <v>GP P5</v>
      </c>
      <c r="K45" s="149" t="str">
        <f t="shared" si="3"/>
        <v>DABBENE MARCEL   ok   GP P5</v>
      </c>
    </row>
    <row r="46" ht="15.75" customHeight="1">
      <c r="A46" s="149" t="str">
        <f>IFERROR(__xludf.DUMMYFUNCTION("""COMPUTED_VALUE"""),"DABBENE NATHALIE")</f>
        <v>DABBENE NATHALIE</v>
      </c>
      <c r="B46" s="142" t="str">
        <f>IFERROR(__xludf.DUMMYFUNCTION("""COMPUTED_VALUE"""),"PE40")</f>
        <v>PE40</v>
      </c>
      <c r="C46" s="151">
        <f>IFERROR(__xludf.DUMMYFUNCTION("""COMPUTED_VALUE"""),46084.0)</f>
        <v>46084</v>
      </c>
      <c r="D46" s="143" t="str">
        <f t="shared" si="1"/>
        <v>ok</v>
      </c>
      <c r="E46" s="149" t="str">
        <f t="shared" si="2"/>
        <v>DABBENE NATHALIE   ok</v>
      </c>
      <c r="F46" s="149" t="b">
        <f>IFERROR(__xludf.DUMMYFUNCTION("""COMPUTED_VALUE"""),TRUE)</f>
        <v>1</v>
      </c>
      <c r="G46" s="149" t="b">
        <f>IFERROR(__xludf.DUMMYFUNCTION("""COMPUTED_VALUE"""),TRUE)</f>
        <v>1</v>
      </c>
      <c r="H46" s="145" t="str">
        <f>IFERROR(__xludf.DUMMYFUNCTION("""COMPUTED_VALUE"""),"PE40")</f>
        <v>PE40</v>
      </c>
      <c r="K46" s="149" t="str">
        <f t="shared" si="3"/>
        <v>DABBENE NATHALIE   ok   PE40</v>
      </c>
    </row>
    <row r="47" ht="15.75" customHeight="1">
      <c r="A47" s="149" t="str">
        <f>IFERROR(__xludf.DUMMYFUNCTION("""COMPUTED_VALUE"""),"Dabin Alexandre")</f>
        <v>Dabin Alexandre</v>
      </c>
      <c r="B47" s="142" t="str">
        <f>IFERROR(__xludf.DUMMYFUNCTION("""COMPUTED_VALUE"""),"PE20")</f>
        <v>PE20</v>
      </c>
      <c r="C47" s="151">
        <f>IFERROR(__xludf.DUMMYFUNCTION("""COMPUTED_VALUE"""),46149.0)</f>
        <v>46149</v>
      </c>
      <c r="D47" s="143" t="str">
        <f t="shared" si="1"/>
        <v>ok</v>
      </c>
      <c r="E47" s="149" t="str">
        <f t="shared" si="2"/>
        <v>Dabin Alexandre   ok</v>
      </c>
      <c r="F47" s="149" t="b">
        <f>IFERROR(__xludf.DUMMYFUNCTION("""COMPUTED_VALUE"""),FALSE)</f>
        <v>0</v>
      </c>
      <c r="G47" s="149" t="b">
        <f>IFERROR(__xludf.DUMMYFUNCTION("""COMPUTED_VALUE"""),TRUE)</f>
        <v>1</v>
      </c>
      <c r="H47" s="145" t="str">
        <f>IFERROR(__xludf.DUMMYFUNCTION("""COMPUTED_VALUE"""),"PE20")</f>
        <v>PE20</v>
      </c>
      <c r="K47" s="149" t="str">
        <f t="shared" si="3"/>
        <v>Dabin Alexandre   ok   PE20</v>
      </c>
    </row>
    <row r="48" ht="15.75" customHeight="1">
      <c r="A48" s="149" t="str">
        <f>IFERROR(__xludf.DUMMYFUNCTION("""COMPUTED_VALUE"""),"DARMON NELLY")</f>
        <v>DARMON NELLY</v>
      </c>
      <c r="B48" s="142" t="str">
        <f>IFERROR(__xludf.DUMMYFUNCTION("""COMPUTED_VALUE"""),"PE40 PA20")</f>
        <v>PE40 PA20</v>
      </c>
      <c r="C48" s="151">
        <f>IFERROR(__xludf.DUMMYFUNCTION("""COMPUTED_VALUE"""),46141.0)</f>
        <v>46141</v>
      </c>
      <c r="D48" s="143" t="str">
        <f t="shared" si="1"/>
        <v>ok</v>
      </c>
      <c r="E48" s="149" t="str">
        <f t="shared" si="2"/>
        <v>DARMON NELLY   ok</v>
      </c>
      <c r="F48" s="149" t="b">
        <f>IFERROR(__xludf.DUMMYFUNCTION("""COMPUTED_VALUE"""),TRUE)</f>
        <v>1</v>
      </c>
      <c r="G48" s="149" t="b">
        <f>IFERROR(__xludf.DUMMYFUNCTION("""COMPUTED_VALUE"""),TRUE)</f>
        <v>1</v>
      </c>
      <c r="H48" s="145" t="str">
        <f>IFERROR(__xludf.DUMMYFUNCTION("""COMPUTED_VALUE"""),"PE40 PA20")</f>
        <v>PE40 PA20</v>
      </c>
      <c r="K48" s="149" t="str">
        <f t="shared" si="3"/>
        <v>DARMON NELLY   ok   PE40 PA20</v>
      </c>
    </row>
    <row r="49" ht="15.75" customHeight="1">
      <c r="A49" s="149" t="str">
        <f>IFERROR(__xludf.DUMMYFUNCTION("""COMPUTED_VALUE"""),"DEI CASSILIA")</f>
        <v>DEI CASSILIA</v>
      </c>
      <c r="B49" s="142" t="str">
        <f>IFERROR(__xludf.DUMMYFUNCTION("""COMPUTED_VALUE"""),"PA60 E1")</f>
        <v>PA60 E1</v>
      </c>
      <c r="C49" s="151">
        <f>IFERROR(__xludf.DUMMYFUNCTION("""COMPUTED_VALUE"""),46197.0)</f>
        <v>46197</v>
      </c>
      <c r="D49" s="143" t="str">
        <f t="shared" si="1"/>
        <v>ok</v>
      </c>
      <c r="E49" s="149" t="str">
        <f t="shared" si="2"/>
        <v>DEI CASSILIA   ok</v>
      </c>
      <c r="F49" s="149" t="b">
        <f>IFERROR(__xludf.DUMMYFUNCTION("""COMPUTED_VALUE"""),TRUE)</f>
        <v>1</v>
      </c>
      <c r="G49" s="149" t="b">
        <f>IFERROR(__xludf.DUMMYFUNCTION("""COMPUTED_VALUE"""),TRUE)</f>
        <v>1</v>
      </c>
      <c r="H49" s="145" t="str">
        <f>IFERROR(__xludf.DUMMYFUNCTION("""COMPUTED_VALUE"""),"PA60 E1")</f>
        <v>PA60 E1</v>
      </c>
      <c r="K49" s="149" t="str">
        <f t="shared" si="3"/>
        <v>DEI CASSILIA   ok   PA60 E1</v>
      </c>
    </row>
    <row r="50" ht="15.75" customHeight="1">
      <c r="A50" s="149" t="str">
        <f>IFERROR(__xludf.DUMMYFUNCTION("""COMPUTED_VALUE"""),"DEI CHRISTOPHE")</f>
        <v>DEI CHRISTOPHE</v>
      </c>
      <c r="B50" s="142" t="str">
        <f>IFERROR(__xludf.DUMMYFUNCTION("""COMPUTED_VALUE"""),"E4")</f>
        <v>E4</v>
      </c>
      <c r="C50" s="151">
        <f>IFERROR(__xludf.DUMMYFUNCTION("""COMPUTED_VALUE"""),46197.0)</f>
        <v>46197</v>
      </c>
      <c r="D50" s="143" t="str">
        <f t="shared" si="1"/>
        <v>ok</v>
      </c>
      <c r="E50" s="149" t="str">
        <f t="shared" si="2"/>
        <v>DEI CHRISTOPHE   ok</v>
      </c>
      <c r="F50" s="149" t="b">
        <f>IFERROR(__xludf.DUMMYFUNCTION("""COMPUTED_VALUE"""),TRUE)</f>
        <v>1</v>
      </c>
      <c r="G50" s="149" t="b">
        <f>IFERROR(__xludf.DUMMYFUNCTION("""COMPUTED_VALUE"""),TRUE)</f>
        <v>1</v>
      </c>
      <c r="H50" s="145" t="str">
        <f>IFERROR(__xludf.DUMMYFUNCTION("""COMPUTED_VALUE"""),"E4")</f>
        <v>E4</v>
      </c>
      <c r="K50" s="149" t="str">
        <f t="shared" si="3"/>
        <v>DEI CHRISTOPHE   ok   E4</v>
      </c>
    </row>
    <row r="51" ht="15.75" customHeight="1">
      <c r="A51" s="149" t="str">
        <f>IFERROR(__xludf.DUMMYFUNCTION("""COMPUTED_VALUE"""),"DEL CONT DELPHINE")</f>
        <v>DEL CONT DELPHINE</v>
      </c>
      <c r="B51" s="142" t="str">
        <f>IFERROR(__xludf.DUMMYFUNCTION("""COMPUTED_VALUE"""),"E2")</f>
        <v>E2</v>
      </c>
      <c r="C51" s="151">
        <f>IFERROR(__xludf.DUMMYFUNCTION("""COMPUTED_VALUE"""),45959.0)</f>
        <v>45959</v>
      </c>
      <c r="D51" s="143" t="str">
        <f t="shared" si="1"/>
        <v>ok</v>
      </c>
      <c r="E51" s="149" t="str">
        <f t="shared" si="2"/>
        <v>DEL CONT DELPHINE   ok</v>
      </c>
      <c r="F51" s="149" t="b">
        <f>IFERROR(__xludf.DUMMYFUNCTION("""COMPUTED_VALUE"""),TRUE)</f>
        <v>1</v>
      </c>
      <c r="G51" s="149" t="b">
        <f>IFERROR(__xludf.DUMMYFUNCTION("""COMPUTED_VALUE"""),TRUE)</f>
        <v>1</v>
      </c>
      <c r="H51" s="145" t="str">
        <f>IFERROR(__xludf.DUMMYFUNCTION("""COMPUTED_VALUE"""),"E2")</f>
        <v>E2</v>
      </c>
      <c r="K51" s="149" t="str">
        <f t="shared" si="3"/>
        <v>DEL CONT DELPHINE   ok   E2</v>
      </c>
    </row>
    <row r="52" ht="15.75" customHeight="1">
      <c r="A52" s="149" t="str">
        <f>IFERROR(__xludf.DUMMYFUNCTION("""COMPUTED_VALUE"""),"Delaruelle  Eliott")</f>
        <v>Delaruelle  Eliott</v>
      </c>
      <c r="B52" s="142" t="str">
        <f>IFERROR(__xludf.DUMMYFUNCTION("""COMPUTED_VALUE"""),"N1")</f>
        <v>N1</v>
      </c>
      <c r="C52" s="151">
        <f>IFERROR(__xludf.DUMMYFUNCTION("""COMPUTED_VALUE"""),46238.0)</f>
        <v>46238</v>
      </c>
      <c r="D52" s="143" t="str">
        <f t="shared" si="1"/>
        <v>ok</v>
      </c>
      <c r="E52" s="149" t="str">
        <f t="shared" si="2"/>
        <v>Delaruelle  Eliott   ok</v>
      </c>
      <c r="F52" s="149" t="b">
        <f>IFERROR(__xludf.DUMMYFUNCTION("""COMPUTED_VALUE"""),FALSE)</f>
        <v>0</v>
      </c>
      <c r="G52" s="149" t="b">
        <f>IFERROR(__xludf.DUMMYFUNCTION("""COMPUTED_VALUE"""),TRUE)</f>
        <v>1</v>
      </c>
      <c r="H52" s="145" t="str">
        <f>IFERROR(__xludf.DUMMYFUNCTION("""COMPUTED_VALUE"""),"N1")</f>
        <v>N1</v>
      </c>
      <c r="K52" s="149" t="str">
        <f t="shared" si="3"/>
        <v>Delaruelle  Eliott   ok   N1</v>
      </c>
    </row>
    <row r="53" ht="15.75" customHeight="1">
      <c r="A53" s="149" t="str">
        <f>IFERROR(__xludf.DUMMYFUNCTION("""COMPUTED_VALUE"""),"Delaruelle Judith")</f>
        <v>Delaruelle Judith</v>
      </c>
      <c r="B53" s="142" t="str">
        <f>IFERROR(__xludf.DUMMYFUNCTION("""COMPUTED_VALUE"""),"N1")</f>
        <v>N1</v>
      </c>
      <c r="C53" s="151">
        <f>IFERROR(__xludf.DUMMYFUNCTION("""COMPUTED_VALUE"""),46238.0)</f>
        <v>46238</v>
      </c>
      <c r="D53" s="143" t="str">
        <f t="shared" si="1"/>
        <v>ok</v>
      </c>
      <c r="E53" s="149" t="str">
        <f t="shared" si="2"/>
        <v>Delaruelle Judith   ok</v>
      </c>
      <c r="F53" s="149" t="b">
        <f>IFERROR(__xludf.DUMMYFUNCTION("""COMPUTED_VALUE"""),FALSE)</f>
        <v>0</v>
      </c>
      <c r="G53" s="149" t="b">
        <f>IFERROR(__xludf.DUMMYFUNCTION("""COMPUTED_VALUE"""),TRUE)</f>
        <v>1</v>
      </c>
      <c r="H53" s="145" t="str">
        <f>IFERROR(__xludf.DUMMYFUNCTION("""COMPUTED_VALUE"""),"N1")</f>
        <v>N1</v>
      </c>
      <c r="K53" s="149" t="str">
        <f t="shared" si="3"/>
        <v>Delaruelle Judith   ok   N1</v>
      </c>
    </row>
    <row r="54" ht="15.75" customHeight="1">
      <c r="A54" s="149" t="str">
        <f>IFERROR(__xludf.DUMMYFUNCTION("""COMPUTED_VALUE"""),"DENIER Nicolas")</f>
        <v>DENIER Nicolas</v>
      </c>
      <c r="B54" s="142" t="str">
        <f>IFERROR(__xludf.DUMMYFUNCTION("""COMPUTED_VALUE"""),"PE20")</f>
        <v>PE20</v>
      </c>
      <c r="C54" s="151">
        <f>IFERROR(__xludf.DUMMYFUNCTION("""COMPUTED_VALUE"""),45948.0)</f>
        <v>45948</v>
      </c>
      <c r="D54" s="143" t="str">
        <f t="shared" si="1"/>
        <v>ok</v>
      </c>
      <c r="E54" s="149" t="str">
        <f t="shared" si="2"/>
        <v>DENIER Nicolas   ok</v>
      </c>
      <c r="F54" s="149" t="b">
        <f>IFERROR(__xludf.DUMMYFUNCTION("""COMPUTED_VALUE"""),FALSE)</f>
        <v>0</v>
      </c>
      <c r="G54" s="149" t="b">
        <f>IFERROR(__xludf.DUMMYFUNCTION("""COMPUTED_VALUE"""),TRUE)</f>
        <v>1</v>
      </c>
      <c r="H54" s="145" t="str">
        <f>IFERROR(__xludf.DUMMYFUNCTION("""COMPUTED_VALUE"""),"PE20")</f>
        <v>PE20</v>
      </c>
      <c r="K54" s="149" t="str">
        <f t="shared" si="3"/>
        <v>DENIER Nicolas   ok   PE20</v>
      </c>
    </row>
    <row r="55" ht="15.75" customHeight="1">
      <c r="A55" s="149" t="str">
        <f>IFERROR(__xludf.DUMMYFUNCTION("""COMPUTED_VALUE"""),"DESMENEZ Eva")</f>
        <v>DESMENEZ Eva</v>
      </c>
      <c r="B55" s="142" t="str">
        <f>IFERROR(__xludf.DUMMYFUNCTION("""COMPUTED_VALUE"""),"N1")</f>
        <v>N1</v>
      </c>
      <c r="C55" s="151">
        <f>IFERROR(__xludf.DUMMYFUNCTION("""COMPUTED_VALUE"""),46217.0)</f>
        <v>46217</v>
      </c>
      <c r="D55" s="143" t="str">
        <f t="shared" si="1"/>
        <v>ok</v>
      </c>
      <c r="E55" s="149" t="str">
        <f t="shared" si="2"/>
        <v>DESMENEZ Eva   ok</v>
      </c>
      <c r="F55" s="149" t="b">
        <f>IFERROR(__xludf.DUMMYFUNCTION("""COMPUTED_VALUE"""),FALSE)</f>
        <v>0</v>
      </c>
      <c r="G55" s="149" t="b">
        <f>IFERROR(__xludf.DUMMYFUNCTION("""COMPUTED_VALUE"""),TRUE)</f>
        <v>1</v>
      </c>
      <c r="H55" s="145" t="str">
        <f>IFERROR(__xludf.DUMMYFUNCTION("""COMPUTED_VALUE"""),"N1")</f>
        <v>N1</v>
      </c>
      <c r="K55" s="149" t="str">
        <f t="shared" si="3"/>
        <v>DESMENEZ Eva   ok   N1</v>
      </c>
    </row>
    <row r="56" ht="15.75" customHeight="1">
      <c r="A56" s="149" t="str">
        <f>IFERROR(__xludf.DUMMYFUNCTION("""COMPUTED_VALUE"""),"DIEU EDOUARD")</f>
        <v>DIEU EDOUARD</v>
      </c>
      <c r="B56" s="142" t="str">
        <f>IFERROR(__xludf.DUMMYFUNCTION("""COMPUTED_VALUE"""),"E2")</f>
        <v>E2</v>
      </c>
      <c r="C56" s="151">
        <f>IFERROR(__xludf.DUMMYFUNCTION("""COMPUTED_VALUE"""),46164.0)</f>
        <v>46164</v>
      </c>
      <c r="D56" s="143" t="str">
        <f t="shared" si="1"/>
        <v>ok</v>
      </c>
      <c r="E56" s="149" t="str">
        <f t="shared" si="2"/>
        <v>DIEU EDOUARD   ok</v>
      </c>
      <c r="F56" s="149" t="b">
        <f>IFERROR(__xludf.DUMMYFUNCTION("""COMPUTED_VALUE"""),TRUE)</f>
        <v>1</v>
      </c>
      <c r="G56" s="149" t="b">
        <f>IFERROR(__xludf.DUMMYFUNCTION("""COMPUTED_VALUE"""),TRUE)</f>
        <v>1</v>
      </c>
      <c r="H56" s="145" t="str">
        <f>IFERROR(__xludf.DUMMYFUNCTION("""COMPUTED_VALUE"""),"E2")</f>
        <v>E2</v>
      </c>
      <c r="K56" s="149" t="str">
        <f t="shared" si="3"/>
        <v>DIEU EDOUARD   ok   E2</v>
      </c>
    </row>
    <row r="57" ht="15.75" customHeight="1">
      <c r="A57" s="149" t="str">
        <f>IFERROR(__xludf.DUMMYFUNCTION("""COMPUTED_VALUE"""),"DIJOUX FLORENT")</f>
        <v>DIJOUX FLORENT</v>
      </c>
      <c r="B57" s="142" t="str">
        <f>IFERROR(__xludf.DUMMYFUNCTION("""COMPUTED_VALUE"""),"PA60  ")</f>
        <v>PA60  </v>
      </c>
      <c r="C57" s="151">
        <f>IFERROR(__xludf.DUMMYFUNCTION("""COMPUTED_VALUE"""),46197.0)</f>
        <v>46197</v>
      </c>
      <c r="D57" s="143" t="str">
        <f t="shared" si="1"/>
        <v>ok</v>
      </c>
      <c r="E57" s="149" t="str">
        <f t="shared" si="2"/>
        <v>DIJOUX FLORENT   ok</v>
      </c>
      <c r="F57" s="149" t="b">
        <f>IFERROR(__xludf.DUMMYFUNCTION("""COMPUTED_VALUE"""),TRUE)</f>
        <v>1</v>
      </c>
      <c r="G57" s="149" t="b">
        <f>IFERROR(__xludf.DUMMYFUNCTION("""COMPUTED_VALUE"""),TRUE)</f>
        <v>1</v>
      </c>
      <c r="H57" s="145" t="str">
        <f>IFERROR(__xludf.DUMMYFUNCTION("""COMPUTED_VALUE"""),"PA60  ")</f>
        <v>PA60  </v>
      </c>
      <c r="K57" s="149" t="str">
        <f t="shared" si="3"/>
        <v>DIJOUX FLORENT   ok   PA60  </v>
      </c>
    </row>
    <row r="58" ht="15.75" customHeight="1">
      <c r="A58" s="149" t="str">
        <f>IFERROR(__xludf.DUMMYFUNCTION("""COMPUTED_VALUE"""),"DO ROSARIO Mathieu")</f>
        <v>DO ROSARIO Mathieu</v>
      </c>
      <c r="B58" s="142" t="str">
        <f>IFERROR(__xludf.DUMMYFUNCTION("""COMPUTED_VALUE"""),"PE20")</f>
        <v>PE20</v>
      </c>
      <c r="C58" s="151">
        <f>IFERROR(__xludf.DUMMYFUNCTION("""COMPUTED_VALUE"""),46220.0)</f>
        <v>46220</v>
      </c>
      <c r="D58" s="143" t="str">
        <f t="shared" si="1"/>
        <v>ok</v>
      </c>
      <c r="E58" s="149" t="str">
        <f t="shared" si="2"/>
        <v>DO ROSARIO Mathieu   ok</v>
      </c>
      <c r="F58" s="149" t="b">
        <f>IFERROR(__xludf.DUMMYFUNCTION("""COMPUTED_VALUE"""),FALSE)</f>
        <v>0</v>
      </c>
      <c r="G58" s="149" t="b">
        <f>IFERROR(__xludf.DUMMYFUNCTION("""COMPUTED_VALUE"""),TRUE)</f>
        <v>1</v>
      </c>
      <c r="H58" s="145" t="str">
        <f>IFERROR(__xludf.DUMMYFUNCTION("""COMPUTED_VALUE"""),"PE20")</f>
        <v>PE20</v>
      </c>
      <c r="K58" s="149" t="str">
        <f t="shared" si="3"/>
        <v>DO ROSARIO Mathieu   ok   PE20</v>
      </c>
    </row>
    <row r="59" ht="15.75" customHeight="1">
      <c r="A59" s="149" t="str">
        <f>IFERROR(__xludf.DUMMYFUNCTION("""COMPUTED_VALUE"""),"DROGOUL LAURENT")</f>
        <v>DROGOUL LAURENT</v>
      </c>
      <c r="B59" s="142" t="str">
        <f>IFERROR(__xludf.DUMMYFUNCTION("""COMPUTED_VALUE"""),"E3")</f>
        <v>E3</v>
      </c>
      <c r="C59" s="151">
        <f>IFERROR(__xludf.DUMMYFUNCTION("""COMPUTED_VALUE"""),46169.0)</f>
        <v>46169</v>
      </c>
      <c r="D59" s="143" t="str">
        <f t="shared" si="1"/>
        <v>ok</v>
      </c>
      <c r="E59" s="149" t="str">
        <f t="shared" si="2"/>
        <v>DROGOUL LAURENT   ok</v>
      </c>
      <c r="F59" s="149" t="b">
        <f>IFERROR(__xludf.DUMMYFUNCTION("""COMPUTED_VALUE"""),FALSE)</f>
        <v>0</v>
      </c>
      <c r="G59" s="149" t="b">
        <f>IFERROR(__xludf.DUMMYFUNCTION("""COMPUTED_VALUE"""),TRUE)</f>
        <v>1</v>
      </c>
      <c r="H59" s="145" t="str">
        <f>IFERROR(__xludf.DUMMYFUNCTION("""COMPUTED_VALUE"""),"E3")</f>
        <v>E3</v>
      </c>
      <c r="K59" s="149" t="str">
        <f t="shared" si="3"/>
        <v>DROGOUL LAURENT   ok   E3</v>
      </c>
    </row>
    <row r="60" ht="15.75" customHeight="1">
      <c r="A60" s="149" t="str">
        <f>IFERROR(__xludf.DUMMYFUNCTION("""COMPUTED_VALUE"""),"DROGOUL TRISTANT")</f>
        <v>DROGOUL TRISTANT</v>
      </c>
      <c r="B60" s="142" t="str">
        <f>IFERROR(__xludf.DUMMYFUNCTION("""COMPUTED_VALUE"""),"PE20")</f>
        <v>PE20</v>
      </c>
      <c r="C60" s="151">
        <f>IFERROR(__xludf.DUMMYFUNCTION("""COMPUTED_VALUE"""),46169.0)</f>
        <v>46169</v>
      </c>
      <c r="D60" s="143" t="str">
        <f t="shared" si="1"/>
        <v>ok</v>
      </c>
      <c r="E60" s="149" t="str">
        <f t="shared" si="2"/>
        <v>DROGOUL TRISTANT   ok</v>
      </c>
      <c r="F60" s="149" t="b">
        <f>IFERROR(__xludf.DUMMYFUNCTION("""COMPUTED_VALUE"""),FALSE)</f>
        <v>0</v>
      </c>
      <c r="G60" s="149" t="b">
        <f>IFERROR(__xludf.DUMMYFUNCTION("""COMPUTED_VALUE"""),TRUE)</f>
        <v>1</v>
      </c>
      <c r="H60" s="145" t="str">
        <f>IFERROR(__xludf.DUMMYFUNCTION("""COMPUTED_VALUE"""),"PE20")</f>
        <v>PE20</v>
      </c>
      <c r="K60" s="149" t="str">
        <f t="shared" si="3"/>
        <v>DROGOUL TRISTANT   ok   PE20</v>
      </c>
    </row>
    <row r="61" ht="15.75" customHeight="1">
      <c r="A61" s="149" t="str">
        <f>IFERROR(__xludf.DUMMYFUNCTION("""COMPUTED_VALUE"""),"DRUEL	Fabrice")</f>
        <v>DRUEL	Fabrice</v>
      </c>
      <c r="B61" s="142" t="str">
        <f>IFERROR(__xludf.DUMMYFUNCTION("""COMPUTED_VALUE"""),"PE20")</f>
        <v>PE20</v>
      </c>
      <c r="C61" s="151">
        <f>IFERROR(__xludf.DUMMYFUNCTION("""COMPUTED_VALUE"""),45924.0)</f>
        <v>45924</v>
      </c>
      <c r="D61" s="143" t="str">
        <f t="shared" si="1"/>
        <v>ok</v>
      </c>
      <c r="E61" s="149" t="str">
        <f t="shared" si="2"/>
        <v>DRUEL	Fabrice   ok</v>
      </c>
      <c r="F61" s="149" t="b">
        <f>IFERROR(__xludf.DUMMYFUNCTION("""COMPUTED_VALUE"""),FALSE)</f>
        <v>0</v>
      </c>
      <c r="G61" s="149" t="b">
        <f>IFERROR(__xludf.DUMMYFUNCTION("""COMPUTED_VALUE"""),TRUE)</f>
        <v>1</v>
      </c>
      <c r="H61" s="145" t="str">
        <f>IFERROR(__xludf.DUMMYFUNCTION("""COMPUTED_VALUE"""),"PE20")</f>
        <v>PE20</v>
      </c>
      <c r="K61" s="149" t="str">
        <f t="shared" si="3"/>
        <v>DRUEL	Fabrice   ok   PE20</v>
      </c>
    </row>
    <row r="62" ht="15.75" customHeight="1">
      <c r="A62" s="149" t="str">
        <f>IFERROR(__xludf.DUMMYFUNCTION("""COMPUTED_VALUE"""),"DRUEL	marie laure")</f>
        <v>DRUEL	marie laure</v>
      </c>
      <c r="B62" s="142" t="str">
        <f>IFERROR(__xludf.DUMMYFUNCTION("""COMPUTED_VALUE"""),"PE20")</f>
        <v>PE20</v>
      </c>
      <c r="C62" s="151">
        <f>IFERROR(__xludf.DUMMYFUNCTION("""COMPUTED_VALUE"""),45924.0)</f>
        <v>45924</v>
      </c>
      <c r="D62" s="143" t="str">
        <f t="shared" si="1"/>
        <v>ok</v>
      </c>
      <c r="E62" s="149" t="str">
        <f t="shared" si="2"/>
        <v>DRUEL	marie laure   ok</v>
      </c>
      <c r="F62" s="149" t="b">
        <f>IFERROR(__xludf.DUMMYFUNCTION("""COMPUTED_VALUE"""),FALSE)</f>
        <v>0</v>
      </c>
      <c r="G62" s="149" t="b">
        <f>IFERROR(__xludf.DUMMYFUNCTION("""COMPUTED_VALUE"""),TRUE)</f>
        <v>1</v>
      </c>
      <c r="H62" s="145" t="str">
        <f>IFERROR(__xludf.DUMMYFUNCTION("""COMPUTED_VALUE"""),"PE20")</f>
        <v>PE20</v>
      </c>
      <c r="K62" s="149" t="str">
        <f t="shared" si="3"/>
        <v>DRUEL	marie laure   ok   PE20</v>
      </c>
    </row>
    <row r="63" ht="15.75" customHeight="1">
      <c r="A63" s="149" t="str">
        <f>IFERROR(__xludf.DUMMYFUNCTION("""COMPUTED_VALUE"""),"Duprez	Alice")</f>
        <v>Duprez	Alice</v>
      </c>
      <c r="B63" s="142" t="str">
        <f>IFERROR(__xludf.DUMMYFUNCTION("""COMPUTED_VALUE"""),"PE20")</f>
        <v>PE20</v>
      </c>
      <c r="C63" s="151">
        <f>IFERROR(__xludf.DUMMYFUNCTION("""COMPUTED_VALUE"""),46042.0)</f>
        <v>46042</v>
      </c>
      <c r="D63" s="143" t="str">
        <f t="shared" si="1"/>
        <v>ok</v>
      </c>
      <c r="E63" s="149" t="str">
        <f t="shared" si="2"/>
        <v>Duprez	Alice   ok</v>
      </c>
      <c r="F63" s="149" t="b">
        <f>IFERROR(__xludf.DUMMYFUNCTION("""COMPUTED_VALUE"""),FALSE)</f>
        <v>0</v>
      </c>
      <c r="G63" s="149" t="b">
        <f>IFERROR(__xludf.DUMMYFUNCTION("""COMPUTED_VALUE"""),TRUE)</f>
        <v>1</v>
      </c>
      <c r="H63" s="145" t="str">
        <f>IFERROR(__xludf.DUMMYFUNCTION("""COMPUTED_VALUE"""),"PE20")</f>
        <v>PE20</v>
      </c>
      <c r="K63" s="149" t="str">
        <f t="shared" si="3"/>
        <v>Duprez	Alice   ok   PE20</v>
      </c>
    </row>
    <row r="64" ht="15.75" customHeight="1">
      <c r="A64" s="149" t="str">
        <f>IFERROR(__xludf.DUMMYFUNCTION("""COMPUTED_VALUE"""),"ELLUL Regis")</f>
        <v>ELLUL Regis</v>
      </c>
      <c r="B64" s="142" t="str">
        <f>IFERROR(__xludf.DUMMYFUNCTION("""COMPUTED_VALUE"""),"PA60  ")</f>
        <v>PA60  </v>
      </c>
      <c r="C64" s="151">
        <f>IFERROR(__xludf.DUMMYFUNCTION("""COMPUTED_VALUE"""),46035.0)</f>
        <v>46035</v>
      </c>
      <c r="D64" s="143" t="str">
        <f t="shared" si="1"/>
        <v>ok</v>
      </c>
      <c r="E64" s="149" t="str">
        <f t="shared" si="2"/>
        <v>ELLUL Regis   ok</v>
      </c>
      <c r="F64" s="149" t="b">
        <f>IFERROR(__xludf.DUMMYFUNCTION("""COMPUTED_VALUE"""),TRUE)</f>
        <v>1</v>
      </c>
      <c r="G64" s="149" t="b">
        <f>IFERROR(__xludf.DUMMYFUNCTION("""COMPUTED_VALUE"""),TRUE)</f>
        <v>1</v>
      </c>
      <c r="H64" s="145" t="str">
        <f>IFERROR(__xludf.DUMMYFUNCTION("""COMPUTED_VALUE"""),"PA60  ")</f>
        <v>PA60  </v>
      </c>
      <c r="K64" s="149" t="str">
        <f t="shared" si="3"/>
        <v>ELLUL Regis   ok   PA60  </v>
      </c>
    </row>
    <row r="65" ht="15.75" customHeight="1">
      <c r="A65" s="149" t="str">
        <f>IFERROR(__xludf.DUMMYFUNCTION("""COMPUTED_VALUE"""),"ESCHAPASSE OLIVIER")</f>
        <v>ESCHAPASSE OLIVIER</v>
      </c>
      <c r="B65" s="142" t="str">
        <f>IFERROR(__xludf.DUMMYFUNCTION("""COMPUTED_VALUE"""),"PA60  ")</f>
        <v>PA60  </v>
      </c>
      <c r="C65" s="151">
        <f>IFERROR(__xludf.DUMMYFUNCTION("""COMPUTED_VALUE"""),46004.0)</f>
        <v>46004</v>
      </c>
      <c r="D65" s="143" t="str">
        <f t="shared" si="1"/>
        <v>ok</v>
      </c>
      <c r="E65" s="149" t="str">
        <f t="shared" si="2"/>
        <v>ESCHAPASSE OLIVIER   ok</v>
      </c>
      <c r="F65" s="149" t="b">
        <f>IFERROR(__xludf.DUMMYFUNCTION("""COMPUTED_VALUE"""),TRUE)</f>
        <v>1</v>
      </c>
      <c r="G65" s="149" t="b">
        <f>IFERROR(__xludf.DUMMYFUNCTION("""COMPUTED_VALUE"""),TRUE)</f>
        <v>1</v>
      </c>
      <c r="H65" s="145" t="str">
        <f>IFERROR(__xludf.DUMMYFUNCTION("""COMPUTED_VALUE"""),"PA60  ")</f>
        <v>PA60  </v>
      </c>
      <c r="K65" s="149" t="str">
        <f t="shared" si="3"/>
        <v>ESCHAPASSE OLIVIER   ok   PA60  </v>
      </c>
    </row>
    <row r="66" ht="15.75" customHeight="1">
      <c r="A66" s="149" t="str">
        <f>IFERROR(__xludf.DUMMYFUNCTION("""COMPUTED_VALUE"""),"ESTABLE MICHEL")</f>
        <v>ESTABLE MICHEL</v>
      </c>
      <c r="B66" s="142" t="str">
        <f>IFERROR(__xludf.DUMMYFUNCTION("""COMPUTED_VALUE"""),"E3")</f>
        <v>E3</v>
      </c>
      <c r="C66" s="151">
        <f>IFERROR(__xludf.DUMMYFUNCTION("""COMPUTED_VALUE"""),46166.0)</f>
        <v>46166</v>
      </c>
      <c r="D66" s="143" t="str">
        <f t="shared" si="1"/>
        <v>ok</v>
      </c>
      <c r="E66" s="149" t="str">
        <f t="shared" si="2"/>
        <v>ESTABLE MICHEL   ok</v>
      </c>
      <c r="F66" s="149" t="b">
        <f>IFERROR(__xludf.DUMMYFUNCTION("""COMPUTED_VALUE"""),TRUE)</f>
        <v>1</v>
      </c>
      <c r="G66" s="149" t="b">
        <f>IFERROR(__xludf.DUMMYFUNCTION("""COMPUTED_VALUE"""),TRUE)</f>
        <v>1</v>
      </c>
      <c r="H66" s="145" t="str">
        <f>IFERROR(__xludf.DUMMYFUNCTION("""COMPUTED_VALUE"""),"E3")</f>
        <v>E3</v>
      </c>
      <c r="K66" s="149" t="str">
        <f t="shared" si="3"/>
        <v>ESTABLE MICHEL   ok   E3</v>
      </c>
    </row>
    <row r="67" ht="15.75" customHeight="1">
      <c r="A67" s="149" t="str">
        <f>IFERROR(__xludf.DUMMYFUNCTION("""COMPUTED_VALUE"""),"EZQUERRO BIOLAY SYLVIE")</f>
        <v>EZQUERRO BIOLAY SYLVIE</v>
      </c>
      <c r="B67" s="142" t="str">
        <f>IFERROR(__xludf.DUMMYFUNCTION("""COMPUTED_VALUE"""),"E3")</f>
        <v>E3</v>
      </c>
      <c r="C67" s="151">
        <f>IFERROR(__xludf.DUMMYFUNCTION("""COMPUTED_VALUE"""),46049.0)</f>
        <v>46049</v>
      </c>
      <c r="D67" s="143" t="str">
        <f t="shared" si="1"/>
        <v>ok</v>
      </c>
      <c r="E67" s="149" t="str">
        <f t="shared" si="2"/>
        <v>EZQUERRO BIOLAY SYLVIE   ok</v>
      </c>
      <c r="F67" s="149" t="b">
        <f>IFERROR(__xludf.DUMMYFUNCTION("""COMPUTED_VALUE"""),TRUE)</f>
        <v>1</v>
      </c>
      <c r="G67" s="149" t="b">
        <f>IFERROR(__xludf.DUMMYFUNCTION("""COMPUTED_VALUE"""),TRUE)</f>
        <v>1</v>
      </c>
      <c r="H67" s="145" t="str">
        <f>IFERROR(__xludf.DUMMYFUNCTION("""COMPUTED_VALUE"""),"E3")</f>
        <v>E3</v>
      </c>
      <c r="K67" s="149" t="str">
        <f t="shared" si="3"/>
        <v>EZQUERRO BIOLAY SYLVIE   ok   E3</v>
      </c>
    </row>
    <row r="68" ht="15.75" customHeight="1">
      <c r="A68" s="149" t="str">
        <f>IFERROR(__xludf.DUMMYFUNCTION("""COMPUTED_VALUE"""),"FAYRET AURORE")</f>
        <v>FAYRET AURORE</v>
      </c>
      <c r="B68" s="142" t="str">
        <f>IFERROR(__xludf.DUMMYFUNCTION("""COMPUTED_VALUE"""),"PA60 E1")</f>
        <v>PA60 E1</v>
      </c>
      <c r="C68" s="151">
        <f>IFERROR(__xludf.DUMMYFUNCTION("""COMPUTED_VALUE"""),46002.0)</f>
        <v>46002</v>
      </c>
      <c r="D68" s="143" t="str">
        <f t="shared" si="1"/>
        <v>ok</v>
      </c>
      <c r="E68" s="149" t="str">
        <f t="shared" si="2"/>
        <v>FAYRET AURORE   ok</v>
      </c>
      <c r="F68" s="149" t="b">
        <f>IFERROR(__xludf.DUMMYFUNCTION("""COMPUTED_VALUE"""),TRUE)</f>
        <v>1</v>
      </c>
      <c r="G68" s="149" t="b">
        <f>IFERROR(__xludf.DUMMYFUNCTION("""COMPUTED_VALUE"""),TRUE)</f>
        <v>1</v>
      </c>
      <c r="H68" s="145" t="str">
        <f>IFERROR(__xludf.DUMMYFUNCTION("""COMPUTED_VALUE"""),"PA60 E1")</f>
        <v>PA60 E1</v>
      </c>
      <c r="K68" s="149" t="str">
        <f t="shared" si="3"/>
        <v>FAYRET AURORE   ok   PA60 E1</v>
      </c>
    </row>
    <row r="69" ht="15.75" customHeight="1">
      <c r="A69" s="149" t="str">
        <f>IFERROR(__xludf.DUMMYFUNCTION("""COMPUTED_VALUE"""),"FEREKA Morgane")</f>
        <v>FEREKA Morgane</v>
      </c>
      <c r="B69" s="142" t="str">
        <f>IFERROR(__xludf.DUMMYFUNCTION("""COMPUTED_VALUE"""),"PE40-NITROX")</f>
        <v>PE40-NITROX</v>
      </c>
      <c r="C69" s="151"/>
      <c r="D69" s="143" t="str">
        <f t="shared" si="1"/>
        <v>ko</v>
      </c>
      <c r="E69" s="149" t="str">
        <f t="shared" si="2"/>
        <v>FEREKA Morgane   ko</v>
      </c>
      <c r="F69" s="149" t="b">
        <f>IFERROR(__xludf.DUMMYFUNCTION("""COMPUTED_VALUE"""),FALSE)</f>
        <v>0</v>
      </c>
      <c r="G69" s="149" t="b">
        <f>IFERROR(__xludf.DUMMYFUNCTION("""COMPUTED_VALUE"""),TRUE)</f>
        <v>1</v>
      </c>
      <c r="H69" s="145" t="str">
        <f>IFERROR(__xludf.DUMMYFUNCTION("""COMPUTED_VALUE"""),"PE40-NITROX")</f>
        <v>PE40-NITROX</v>
      </c>
      <c r="K69" s="149" t="str">
        <f t="shared" si="3"/>
        <v>FEREKA Morgane   ko   PE40-NITROX</v>
      </c>
    </row>
    <row r="70" ht="15.75" customHeight="1">
      <c r="A70" s="149" t="str">
        <f>IFERROR(__xludf.DUMMYFUNCTION("""COMPUTED_VALUE"""),"FERRERO Jérémy")</f>
        <v>FERRERO Jérémy</v>
      </c>
      <c r="B70" s="142" t="str">
        <f>IFERROR(__xludf.DUMMYFUNCTION("""COMPUTED_VALUE"""),"PE40")</f>
        <v>PE40</v>
      </c>
      <c r="C70" s="151">
        <f>IFERROR(__xludf.DUMMYFUNCTION("""COMPUTED_VALUE"""),46240.0)</f>
        <v>46240</v>
      </c>
      <c r="D70" s="143" t="str">
        <f t="shared" si="1"/>
        <v>ok</v>
      </c>
      <c r="E70" s="149" t="str">
        <f t="shared" si="2"/>
        <v>FERRERO Jérémy   ok</v>
      </c>
      <c r="F70" s="149" t="b">
        <f>IFERROR(__xludf.DUMMYFUNCTION("""COMPUTED_VALUE"""),FALSE)</f>
        <v>0</v>
      </c>
      <c r="G70" s="149" t="b">
        <f>IFERROR(__xludf.DUMMYFUNCTION("""COMPUTED_VALUE"""),TRUE)</f>
        <v>1</v>
      </c>
      <c r="H70" s="145" t="str">
        <f>IFERROR(__xludf.DUMMYFUNCTION("""COMPUTED_VALUE"""),"PE40")</f>
        <v>PE40</v>
      </c>
      <c r="K70" s="149" t="str">
        <f t="shared" si="3"/>
        <v>FERRERO Jérémy   ok   PE40</v>
      </c>
    </row>
    <row r="71" ht="15.75" customHeight="1">
      <c r="A71" s="149" t="str">
        <f>IFERROR(__xludf.DUMMYFUNCTION("""COMPUTED_VALUE"""),"Ferrero Turrion Catalina")</f>
        <v>Ferrero Turrion Catalina</v>
      </c>
      <c r="B71" s="142" t="str">
        <f>IFERROR(__xludf.DUMMYFUNCTION("""COMPUTED_VALUE"""),"PE20")</f>
        <v>PE20</v>
      </c>
      <c r="C71" s="151">
        <f>IFERROR(__xludf.DUMMYFUNCTION("""COMPUTED_VALUE"""),46026.0)</f>
        <v>46026</v>
      </c>
      <c r="D71" s="143" t="str">
        <f t="shared" si="1"/>
        <v>ok</v>
      </c>
      <c r="E71" s="149" t="str">
        <f t="shared" si="2"/>
        <v>Ferrero Turrion Catalina   ok</v>
      </c>
      <c r="F71" s="149" t="b">
        <f>IFERROR(__xludf.DUMMYFUNCTION("""COMPUTED_VALUE"""),FALSE)</f>
        <v>0</v>
      </c>
      <c r="G71" s="149" t="b">
        <f>IFERROR(__xludf.DUMMYFUNCTION("""COMPUTED_VALUE"""),TRUE)</f>
        <v>1</v>
      </c>
      <c r="H71" s="145" t="str">
        <f>IFERROR(__xludf.DUMMYFUNCTION("""COMPUTED_VALUE"""),"PE20")</f>
        <v>PE20</v>
      </c>
      <c r="K71" s="149" t="str">
        <f t="shared" si="3"/>
        <v>Ferrero Turrion Catalina   ok   PE20</v>
      </c>
    </row>
    <row r="72" ht="15.75" customHeight="1">
      <c r="A72" s="149" t="str">
        <f>IFERROR(__xludf.DUMMYFUNCTION("""COMPUTED_VALUE"""),"FILIPPINI Evanie")</f>
        <v>FILIPPINI Evanie</v>
      </c>
      <c r="B72" s="142" t="str">
        <f>IFERROR(__xludf.DUMMYFUNCTION("""COMPUTED_VALUE"""),"PE20")</f>
        <v>PE20</v>
      </c>
      <c r="C72" s="151">
        <f>IFERROR(__xludf.DUMMYFUNCTION("""COMPUTED_VALUE"""),46106.0)</f>
        <v>46106</v>
      </c>
      <c r="D72" s="143" t="str">
        <f t="shared" si="1"/>
        <v>ok</v>
      </c>
      <c r="E72" s="149" t="str">
        <f t="shared" si="2"/>
        <v>FILIPPINI Evanie   ok</v>
      </c>
      <c r="F72" s="149" t="b">
        <f>IFERROR(__xludf.DUMMYFUNCTION("""COMPUTED_VALUE"""),FALSE)</f>
        <v>0</v>
      </c>
      <c r="G72" s="149" t="b">
        <f>IFERROR(__xludf.DUMMYFUNCTION("""COMPUTED_VALUE"""),TRUE)</f>
        <v>1</v>
      </c>
      <c r="H72" s="145" t="str">
        <f>IFERROR(__xludf.DUMMYFUNCTION("""COMPUTED_VALUE"""),"PE20")</f>
        <v>PE20</v>
      </c>
      <c r="K72" s="149" t="str">
        <f t="shared" si="3"/>
        <v>FILIPPINI Evanie   ok   PE20</v>
      </c>
    </row>
    <row r="73" ht="15.75" customHeight="1">
      <c r="A73" s="149" t="str">
        <f>IFERROR(__xludf.DUMMYFUNCTION("""COMPUTED_VALUE"""),"FLOCTEL ROSELINE")</f>
        <v>FLOCTEL ROSELINE</v>
      </c>
      <c r="B73" s="142" t="str">
        <f>IFERROR(__xludf.DUMMYFUNCTION("""COMPUTED_VALUE"""),"PA60  ")</f>
        <v>PA60  </v>
      </c>
      <c r="C73" s="151">
        <f>IFERROR(__xludf.DUMMYFUNCTION("""COMPUTED_VALUE"""),46155.0)</f>
        <v>46155</v>
      </c>
      <c r="D73" s="143" t="str">
        <f t="shared" si="1"/>
        <v>ok</v>
      </c>
      <c r="E73" s="149" t="str">
        <f t="shared" si="2"/>
        <v>FLOCTEL ROSELINE   ok</v>
      </c>
      <c r="F73" s="149" t="b">
        <f>IFERROR(__xludf.DUMMYFUNCTION("""COMPUTED_VALUE"""),TRUE)</f>
        <v>1</v>
      </c>
      <c r="G73" s="149" t="b">
        <f>IFERROR(__xludf.DUMMYFUNCTION("""COMPUTED_VALUE"""),TRUE)</f>
        <v>1</v>
      </c>
      <c r="H73" s="145" t="str">
        <f>IFERROR(__xludf.DUMMYFUNCTION("""COMPUTED_VALUE"""),"PA60  ")</f>
        <v>PA60  </v>
      </c>
      <c r="K73" s="149" t="str">
        <f t="shared" si="3"/>
        <v>FLOCTEL ROSELINE   ok   PA60  </v>
      </c>
    </row>
    <row r="74" ht="15.75" customHeight="1">
      <c r="A74" s="149" t="str">
        <f>IFERROR(__xludf.DUMMYFUNCTION("""COMPUTED_VALUE"""),"FLORENT JEROME")</f>
        <v>FLORENT JEROME</v>
      </c>
      <c r="B74" s="142" t="str">
        <f>IFERROR(__xludf.DUMMYFUNCTION("""COMPUTED_VALUE"""),"E3")</f>
        <v>E3</v>
      </c>
      <c r="C74" s="151">
        <f>IFERROR(__xludf.DUMMYFUNCTION("""COMPUTED_VALUE"""),46126.0)</f>
        <v>46126</v>
      </c>
      <c r="D74" s="143" t="str">
        <f t="shared" si="1"/>
        <v>ok</v>
      </c>
      <c r="E74" s="149" t="str">
        <f t="shared" si="2"/>
        <v>FLORENT JEROME   ok</v>
      </c>
      <c r="F74" s="149" t="b">
        <f>IFERROR(__xludf.DUMMYFUNCTION("""COMPUTED_VALUE"""),TRUE)</f>
        <v>1</v>
      </c>
      <c r="G74" s="149" t="b">
        <f>IFERROR(__xludf.DUMMYFUNCTION("""COMPUTED_VALUE"""),TRUE)</f>
        <v>1</v>
      </c>
      <c r="H74" s="145" t="str">
        <f>IFERROR(__xludf.DUMMYFUNCTION("""COMPUTED_VALUE"""),"E3")</f>
        <v>E3</v>
      </c>
      <c r="K74" s="149" t="str">
        <f t="shared" si="3"/>
        <v>FLORENT JEROME   ok   E3</v>
      </c>
    </row>
    <row r="75" ht="15.75" customHeight="1">
      <c r="A75" s="149" t="str">
        <f>IFERROR(__xludf.DUMMYFUNCTION("""COMPUTED_VALUE"""),"Foissin Lauriane")</f>
        <v>Foissin Lauriane</v>
      </c>
      <c r="B75" s="142" t="str">
        <f>IFERROR(__xludf.DUMMYFUNCTION("""COMPUTED_VALUE"""),"PE20")</f>
        <v>PE20</v>
      </c>
      <c r="C75" s="151">
        <f>IFERROR(__xludf.DUMMYFUNCTION("""COMPUTED_VALUE"""),45910.0)</f>
        <v>45910</v>
      </c>
      <c r="D75" s="143" t="str">
        <f t="shared" si="1"/>
        <v>ko</v>
      </c>
      <c r="E75" s="149" t="str">
        <f t="shared" si="2"/>
        <v>Foissin Lauriane   ko</v>
      </c>
      <c r="F75" s="149" t="b">
        <f>IFERROR(__xludf.DUMMYFUNCTION("""COMPUTED_VALUE"""),FALSE)</f>
        <v>0</v>
      </c>
      <c r="G75" s="149" t="b">
        <f>IFERROR(__xludf.DUMMYFUNCTION("""COMPUTED_VALUE"""),TRUE)</f>
        <v>1</v>
      </c>
      <c r="H75" s="145" t="str">
        <f>IFERROR(__xludf.DUMMYFUNCTION("""COMPUTED_VALUE"""),"PE20")</f>
        <v>PE20</v>
      </c>
      <c r="K75" s="149" t="str">
        <f t="shared" si="3"/>
        <v>Foissin Lauriane   ko   PE20</v>
      </c>
    </row>
    <row r="76" ht="15.75" customHeight="1">
      <c r="A76" s="149" t="str">
        <f>IFERROR(__xludf.DUMMYFUNCTION("""COMPUTED_VALUE"""),"FONCIN FLORIAN")</f>
        <v>FONCIN FLORIAN</v>
      </c>
      <c r="B76" s="142" t="str">
        <f>IFERROR(__xludf.DUMMYFUNCTION("""COMPUTED_VALUE"""),"PE40 PA20")</f>
        <v>PE40 PA20</v>
      </c>
      <c r="C76" s="151">
        <f>IFERROR(__xludf.DUMMYFUNCTION("""COMPUTED_VALUE"""),46239.0)</f>
        <v>46239</v>
      </c>
      <c r="D76" s="143" t="str">
        <f t="shared" si="1"/>
        <v>ok</v>
      </c>
      <c r="E76" s="149" t="str">
        <f t="shared" si="2"/>
        <v>FONCIN FLORIAN   ok</v>
      </c>
      <c r="F76" s="149" t="b">
        <f>IFERROR(__xludf.DUMMYFUNCTION("""COMPUTED_VALUE"""),TRUE)</f>
        <v>1</v>
      </c>
      <c r="G76" s="149" t="b">
        <f>IFERROR(__xludf.DUMMYFUNCTION("""COMPUTED_VALUE"""),TRUE)</f>
        <v>1</v>
      </c>
      <c r="H76" s="145" t="str">
        <f>IFERROR(__xludf.DUMMYFUNCTION("""COMPUTED_VALUE"""),"PE40 PA20")</f>
        <v>PE40 PA20</v>
      </c>
      <c r="K76" s="149" t="str">
        <f t="shared" si="3"/>
        <v>FONCIN FLORIAN   ok   PE40 PA20</v>
      </c>
    </row>
    <row r="77" ht="15.75" customHeight="1">
      <c r="A77" s="149" t="str">
        <f>IFERROR(__xludf.DUMMYFUNCTION("""COMPUTED_VALUE"""),"Fontaine Lachheb Kenzo")</f>
        <v>Fontaine Lachheb Kenzo</v>
      </c>
      <c r="B77" s="142" t="str">
        <f>IFERROR(__xludf.DUMMYFUNCTION("""COMPUTED_VALUE"""),"PE20")</f>
        <v>PE20</v>
      </c>
      <c r="C77" s="151">
        <f>IFERROR(__xludf.DUMMYFUNCTION("""COMPUTED_VALUE"""),46130.0)</f>
        <v>46130</v>
      </c>
      <c r="D77" s="143" t="str">
        <f t="shared" si="1"/>
        <v>ok</v>
      </c>
      <c r="E77" s="149" t="str">
        <f t="shared" si="2"/>
        <v>Fontaine Lachheb Kenzo   ok</v>
      </c>
      <c r="F77" s="149" t="b">
        <f>IFERROR(__xludf.DUMMYFUNCTION("""COMPUTED_VALUE"""),FALSE)</f>
        <v>0</v>
      </c>
      <c r="G77" s="149" t="b">
        <f>IFERROR(__xludf.DUMMYFUNCTION("""COMPUTED_VALUE"""),TRUE)</f>
        <v>1</v>
      </c>
      <c r="H77" s="145" t="str">
        <f>IFERROR(__xludf.DUMMYFUNCTION("""COMPUTED_VALUE"""),"PE20")</f>
        <v>PE20</v>
      </c>
      <c r="K77" s="149" t="str">
        <f t="shared" si="3"/>
        <v>Fontaine Lachheb Kenzo   ok   PE20</v>
      </c>
    </row>
    <row r="78" ht="15.75" customHeight="1">
      <c r="A78" s="149" t="str">
        <f>IFERROR(__xludf.DUMMYFUNCTION("""COMPUTED_VALUE"""),"FONTAS Camille")</f>
        <v>FONTAS Camille</v>
      </c>
      <c r="B78" s="142" t="str">
        <f>IFERROR(__xludf.DUMMYFUNCTION("""COMPUTED_VALUE"""),"PE12")</f>
        <v>PE12</v>
      </c>
      <c r="C78" s="151">
        <f>IFERROR(__xludf.DUMMYFUNCTION("""COMPUTED_VALUE"""),46239.0)</f>
        <v>46239</v>
      </c>
      <c r="D78" s="143" t="str">
        <f t="shared" si="1"/>
        <v>ok</v>
      </c>
      <c r="E78" s="149" t="str">
        <f t="shared" si="2"/>
        <v>FONTAS Camille   ok</v>
      </c>
      <c r="F78" s="149" t="b">
        <f>IFERROR(__xludf.DUMMYFUNCTION("""COMPUTED_VALUE"""),FALSE)</f>
        <v>0</v>
      </c>
      <c r="G78" s="149" t="b">
        <f>IFERROR(__xludf.DUMMYFUNCTION("""COMPUTED_VALUE"""),TRUE)</f>
        <v>1</v>
      </c>
      <c r="H78" s="145" t="str">
        <f>IFERROR(__xludf.DUMMYFUNCTION("""COMPUTED_VALUE"""),"PE12")</f>
        <v>PE12</v>
      </c>
      <c r="K78" s="149" t="str">
        <f t="shared" si="3"/>
        <v>FONTAS Camille   ok   PE12</v>
      </c>
    </row>
    <row r="79" ht="15.75" customHeight="1">
      <c r="A79" s="149" t="str">
        <f>IFERROR(__xludf.DUMMYFUNCTION("""COMPUTED_VALUE"""),"FONTAS Ninon")</f>
        <v>FONTAS Ninon</v>
      </c>
      <c r="B79" s="142" t="str">
        <f>IFERROR(__xludf.DUMMYFUNCTION("""COMPUTED_VALUE"""),"PE12")</f>
        <v>PE12</v>
      </c>
      <c r="C79" s="151">
        <f>IFERROR(__xludf.DUMMYFUNCTION("""COMPUTED_VALUE"""),46239.0)</f>
        <v>46239</v>
      </c>
      <c r="D79" s="143" t="str">
        <f t="shared" si="1"/>
        <v>ok</v>
      </c>
      <c r="E79" s="149" t="str">
        <f t="shared" si="2"/>
        <v>FONTAS Ninon   ok</v>
      </c>
      <c r="F79" s="149" t="b">
        <f>IFERROR(__xludf.DUMMYFUNCTION("""COMPUTED_VALUE"""),FALSE)</f>
        <v>0</v>
      </c>
      <c r="G79" s="149" t="b">
        <f>IFERROR(__xludf.DUMMYFUNCTION("""COMPUTED_VALUE"""),TRUE)</f>
        <v>1</v>
      </c>
      <c r="H79" s="145" t="str">
        <f>IFERROR(__xludf.DUMMYFUNCTION("""COMPUTED_VALUE"""),"PE12")</f>
        <v>PE12</v>
      </c>
      <c r="K79" s="149" t="str">
        <f t="shared" si="3"/>
        <v>FONTAS Ninon   ok   PE12</v>
      </c>
    </row>
    <row r="80" ht="15.75" customHeight="1">
      <c r="A80" s="149" t="str">
        <f>IFERROR(__xludf.DUMMYFUNCTION("""COMPUTED_VALUE"""),"Francalanci Billi Mayliss")</f>
        <v>Francalanci Billi Mayliss</v>
      </c>
      <c r="B80" s="142" t="str">
        <f>IFERROR(__xludf.DUMMYFUNCTION("""COMPUTED_VALUE"""),"PE20")</f>
        <v>PE20</v>
      </c>
      <c r="C80" s="151">
        <f>IFERROR(__xludf.DUMMYFUNCTION("""COMPUTED_VALUE"""),46165.0)</f>
        <v>46165</v>
      </c>
      <c r="D80" s="143" t="str">
        <f t="shared" si="1"/>
        <v>ok</v>
      </c>
      <c r="E80" s="149" t="str">
        <f t="shared" si="2"/>
        <v>Francalanci Billi Mayliss   ok</v>
      </c>
      <c r="F80" s="149" t="b">
        <f>IFERROR(__xludf.DUMMYFUNCTION("""COMPUTED_VALUE"""),FALSE)</f>
        <v>0</v>
      </c>
      <c r="G80" s="149" t="b">
        <f>IFERROR(__xludf.DUMMYFUNCTION("""COMPUTED_VALUE"""),TRUE)</f>
        <v>1</v>
      </c>
      <c r="H80" s="145" t="str">
        <f>IFERROR(__xludf.DUMMYFUNCTION("""COMPUTED_VALUE"""),"PE20")</f>
        <v>PE20</v>
      </c>
      <c r="K80" s="149" t="str">
        <f t="shared" si="3"/>
        <v>Francalanci Billi Mayliss   ok   PE20</v>
      </c>
    </row>
    <row r="81" ht="15.75" customHeight="1">
      <c r="A81" s="149" t="str">
        <f>IFERROR(__xludf.DUMMYFUNCTION("""COMPUTED_VALUE"""),"FRENARD Laurent")</f>
        <v>FRENARD Laurent</v>
      </c>
      <c r="B81" s="142" t="str">
        <f>IFERROR(__xludf.DUMMYFUNCTION("""COMPUTED_VALUE"""),"PE20")</f>
        <v>PE20</v>
      </c>
      <c r="C81" s="151">
        <f>IFERROR(__xludf.DUMMYFUNCTION("""COMPUTED_VALUE"""),46046.0)</f>
        <v>46046</v>
      </c>
      <c r="D81" s="143" t="str">
        <f t="shared" si="1"/>
        <v>ok</v>
      </c>
      <c r="E81" s="149" t="str">
        <f t="shared" si="2"/>
        <v>FRENARD Laurent   ok</v>
      </c>
      <c r="F81" s="149" t="b">
        <f>IFERROR(__xludf.DUMMYFUNCTION("""COMPUTED_VALUE"""),TRUE)</f>
        <v>1</v>
      </c>
      <c r="G81" s="149" t="b">
        <f>IFERROR(__xludf.DUMMYFUNCTION("""COMPUTED_VALUE"""),TRUE)</f>
        <v>1</v>
      </c>
      <c r="H81" s="145" t="str">
        <f>IFERROR(__xludf.DUMMYFUNCTION("""COMPUTED_VALUE"""),"PE20")</f>
        <v>PE20</v>
      </c>
      <c r="K81" s="149" t="str">
        <f t="shared" si="3"/>
        <v>FRENARD Laurent   ok   PE20</v>
      </c>
    </row>
    <row r="82" ht="15.75" customHeight="1">
      <c r="A82" s="149" t="str">
        <f>IFERROR(__xludf.DUMMYFUNCTION("""COMPUTED_VALUE"""),"GAIRAUD	Antoine")</f>
        <v>GAIRAUD	Antoine</v>
      </c>
      <c r="B82" s="142" t="str">
        <f>IFERROR(__xludf.DUMMYFUNCTION("""COMPUTED_VALUE"""),"PE20")</f>
        <v>PE20</v>
      </c>
      <c r="C82" s="151">
        <f>IFERROR(__xludf.DUMMYFUNCTION("""COMPUTED_VALUE"""),46249.0)</f>
        <v>46249</v>
      </c>
      <c r="D82" s="143" t="str">
        <f t="shared" si="1"/>
        <v>ok</v>
      </c>
      <c r="E82" s="149" t="str">
        <f t="shared" si="2"/>
        <v>GAIRAUD	Antoine   ok</v>
      </c>
      <c r="F82" s="149" t="b">
        <f>IFERROR(__xludf.DUMMYFUNCTION("""COMPUTED_VALUE"""),FALSE)</f>
        <v>0</v>
      </c>
      <c r="G82" s="149" t="b">
        <f>IFERROR(__xludf.DUMMYFUNCTION("""COMPUTED_VALUE"""),TRUE)</f>
        <v>1</v>
      </c>
      <c r="H82" s="145" t="str">
        <f>IFERROR(__xludf.DUMMYFUNCTION("""COMPUTED_VALUE"""),"PE20")</f>
        <v>PE20</v>
      </c>
      <c r="K82" s="149" t="str">
        <f t="shared" si="3"/>
        <v>GAIRAUD	Antoine   ok   PE20</v>
      </c>
    </row>
    <row r="83" ht="15.75" customHeight="1">
      <c r="A83" s="149" t="str">
        <f>IFERROR(__xludf.DUMMYFUNCTION("""COMPUTED_VALUE"""),"GALBA OLIVIER")</f>
        <v>GALBA OLIVIER</v>
      </c>
      <c r="B83" s="142" t="str">
        <f>IFERROR(__xludf.DUMMYFUNCTION("""COMPUTED_VALUE"""),"E2 P5")</f>
        <v>E2 P5</v>
      </c>
      <c r="C83" s="151">
        <f>IFERROR(__xludf.DUMMYFUNCTION("""COMPUTED_VALUE"""),46087.0)</f>
        <v>46087</v>
      </c>
      <c r="D83" s="143" t="str">
        <f t="shared" si="1"/>
        <v>ok</v>
      </c>
      <c r="E83" s="149" t="str">
        <f t="shared" si="2"/>
        <v>GALBA OLIVIER   ok</v>
      </c>
      <c r="F83" s="149" t="b">
        <f>IFERROR(__xludf.DUMMYFUNCTION("""COMPUTED_VALUE"""),TRUE)</f>
        <v>1</v>
      </c>
      <c r="G83" s="149" t="b">
        <f>IFERROR(__xludf.DUMMYFUNCTION("""COMPUTED_VALUE"""),TRUE)</f>
        <v>1</v>
      </c>
      <c r="H83" s="145" t="str">
        <f>IFERROR(__xludf.DUMMYFUNCTION("""COMPUTED_VALUE"""),"E2 P5")</f>
        <v>E2 P5</v>
      </c>
      <c r="K83" s="149" t="str">
        <f t="shared" si="3"/>
        <v>GALBA OLIVIER   ok   E2 P5</v>
      </c>
    </row>
    <row r="84" ht="15.75" customHeight="1">
      <c r="A84" s="149" t="str">
        <f>IFERROR(__xludf.DUMMYFUNCTION("""COMPUTED_VALUE"""),"GALIN Konstantin")</f>
        <v>GALIN Konstantin</v>
      </c>
      <c r="B84" s="142" t="str">
        <f>IFERROR(__xludf.DUMMYFUNCTION("""COMPUTED_VALUE"""),"PE40")</f>
        <v>PE40</v>
      </c>
      <c r="C84" s="151">
        <f>IFERROR(__xludf.DUMMYFUNCTION("""COMPUTED_VALUE"""),45859.0)</f>
        <v>45859</v>
      </c>
      <c r="D84" s="143" t="str">
        <f t="shared" si="1"/>
        <v>ko</v>
      </c>
      <c r="E84" s="149" t="str">
        <f t="shared" si="2"/>
        <v>GALIN Konstantin   ko</v>
      </c>
      <c r="F84" s="149" t="b">
        <f>IFERROR(__xludf.DUMMYFUNCTION("""COMPUTED_VALUE"""),FALSE)</f>
        <v>0</v>
      </c>
      <c r="G84" s="149" t="b">
        <f>IFERROR(__xludf.DUMMYFUNCTION("""COMPUTED_VALUE"""),TRUE)</f>
        <v>1</v>
      </c>
      <c r="H84" s="145" t="str">
        <f>IFERROR(__xludf.DUMMYFUNCTION("""COMPUTED_VALUE"""),"PE40")</f>
        <v>PE40</v>
      </c>
      <c r="K84" s="149" t="str">
        <f t="shared" si="3"/>
        <v>GALIN Konstantin   ko   PE40</v>
      </c>
    </row>
    <row r="85" ht="15.75" customHeight="1">
      <c r="A85" s="149" t="str">
        <f>IFERROR(__xludf.DUMMYFUNCTION("""COMPUTED_VALUE"""),"GALVEZ Lenny")</f>
        <v>GALVEZ Lenny</v>
      </c>
      <c r="B85" s="142" t="str">
        <f>IFERROR(__xludf.DUMMYFUNCTION("""COMPUTED_VALUE"""),"PE20")</f>
        <v>PE20</v>
      </c>
      <c r="C85" s="151">
        <f>IFERROR(__xludf.DUMMYFUNCTION("""COMPUTED_VALUE"""),46113.0)</f>
        <v>46113</v>
      </c>
      <c r="D85" s="143" t="str">
        <f t="shared" si="1"/>
        <v>ok</v>
      </c>
      <c r="E85" s="149" t="str">
        <f t="shared" si="2"/>
        <v>GALVEZ Lenny   ok</v>
      </c>
      <c r="F85" s="149" t="b">
        <f>IFERROR(__xludf.DUMMYFUNCTION("""COMPUTED_VALUE"""),FALSE)</f>
        <v>0</v>
      </c>
      <c r="G85" s="149" t="b">
        <f>IFERROR(__xludf.DUMMYFUNCTION("""COMPUTED_VALUE"""),TRUE)</f>
        <v>1</v>
      </c>
      <c r="H85" s="145" t="str">
        <f>IFERROR(__xludf.DUMMYFUNCTION("""COMPUTED_VALUE"""),"PE20")</f>
        <v>PE20</v>
      </c>
      <c r="K85" s="149" t="str">
        <f t="shared" si="3"/>
        <v>GALVEZ Lenny   ok   PE20</v>
      </c>
    </row>
    <row r="86" ht="15.75" customHeight="1">
      <c r="A86" s="149" t="str">
        <f>IFERROR(__xludf.DUMMYFUNCTION("""COMPUTED_VALUE"""),"GANACHAU Sylvain")</f>
        <v>GANACHAU Sylvain</v>
      </c>
      <c r="B86" s="142" t="str">
        <f>IFERROR(__xludf.DUMMYFUNCTION("""COMPUTED_VALUE"""),"PE20")</f>
        <v>PE20</v>
      </c>
      <c r="C86" s="151">
        <f>IFERROR(__xludf.DUMMYFUNCTION("""COMPUTED_VALUE"""),45985.0)</f>
        <v>45985</v>
      </c>
      <c r="D86" s="143" t="str">
        <f t="shared" si="1"/>
        <v>ok</v>
      </c>
      <c r="E86" s="149" t="str">
        <f t="shared" si="2"/>
        <v>GANACHAU Sylvain   ok</v>
      </c>
      <c r="F86" s="149" t="b">
        <f>IFERROR(__xludf.DUMMYFUNCTION("""COMPUTED_VALUE"""),FALSE)</f>
        <v>0</v>
      </c>
      <c r="G86" s="149" t="b">
        <f>IFERROR(__xludf.DUMMYFUNCTION("""COMPUTED_VALUE"""),TRUE)</f>
        <v>1</v>
      </c>
      <c r="H86" s="145" t="str">
        <f>IFERROR(__xludf.DUMMYFUNCTION("""COMPUTED_VALUE"""),"PE20")</f>
        <v>PE20</v>
      </c>
      <c r="K86" s="149" t="str">
        <f t="shared" si="3"/>
        <v>GANACHAU Sylvain   ok   PE20</v>
      </c>
    </row>
    <row r="87" ht="15.75" customHeight="1">
      <c r="A87" s="149" t="str">
        <f>IFERROR(__xludf.DUMMYFUNCTION("""COMPUTED_VALUE"""),"Garcia	Rémy	")</f>
        <v>Garcia	Rémy	</v>
      </c>
      <c r="B87" s="142" t="str">
        <f>IFERROR(__xludf.DUMMYFUNCTION("""COMPUTED_VALUE"""),"PE20")</f>
        <v>PE20</v>
      </c>
      <c r="C87" s="151">
        <f>IFERROR(__xludf.DUMMYFUNCTION("""COMPUTED_VALUE"""),46263.0)</f>
        <v>46263</v>
      </c>
      <c r="D87" s="143" t="str">
        <f t="shared" si="1"/>
        <v>ok</v>
      </c>
      <c r="E87" s="149" t="str">
        <f t="shared" si="2"/>
        <v>Garcia	Rémy	   ok</v>
      </c>
      <c r="F87" s="149" t="b">
        <f>IFERROR(__xludf.DUMMYFUNCTION("""COMPUTED_VALUE"""),FALSE)</f>
        <v>0</v>
      </c>
      <c r="G87" s="149" t="b">
        <f>IFERROR(__xludf.DUMMYFUNCTION("""COMPUTED_VALUE"""),TRUE)</f>
        <v>1</v>
      </c>
      <c r="H87" s="145" t="str">
        <f>IFERROR(__xludf.DUMMYFUNCTION("""COMPUTED_VALUE"""),"PE20")</f>
        <v>PE20</v>
      </c>
      <c r="K87" s="149" t="str">
        <f t="shared" si="3"/>
        <v>Garcia	Rémy	   ok   PE20</v>
      </c>
    </row>
    <row r="88" ht="15.75" customHeight="1">
      <c r="A88" s="149" t="str">
        <f>IFERROR(__xludf.DUMMYFUNCTION("""COMPUTED_VALUE"""),"Garstea Dumitrita")</f>
        <v>Garstea Dumitrita</v>
      </c>
      <c r="B88" s="142" t="str">
        <f>IFERROR(__xludf.DUMMYFUNCTION("""COMPUTED_VALUE"""),"PE20")</f>
        <v>PE20</v>
      </c>
      <c r="C88" s="151">
        <f>IFERROR(__xludf.DUMMYFUNCTION("""COMPUTED_VALUE"""),46154.0)</f>
        <v>46154</v>
      </c>
      <c r="D88" s="143" t="str">
        <f t="shared" si="1"/>
        <v>ok</v>
      </c>
      <c r="E88" s="149" t="str">
        <f t="shared" si="2"/>
        <v>Garstea Dumitrita   ok</v>
      </c>
      <c r="F88" s="149" t="b">
        <f>IFERROR(__xludf.DUMMYFUNCTION("""COMPUTED_VALUE"""),FALSE)</f>
        <v>0</v>
      </c>
      <c r="G88" s="149" t="b">
        <f>IFERROR(__xludf.DUMMYFUNCTION("""COMPUTED_VALUE"""),TRUE)</f>
        <v>1</v>
      </c>
      <c r="H88" s="145" t="str">
        <f>IFERROR(__xludf.DUMMYFUNCTION("""COMPUTED_VALUE"""),"PE20")</f>
        <v>PE20</v>
      </c>
      <c r="K88" s="149" t="str">
        <f t="shared" si="3"/>
        <v>Garstea Dumitrita   ok   PE20</v>
      </c>
    </row>
    <row r="89" ht="15.75" customHeight="1">
      <c r="A89" s="149" t="str">
        <f>IFERROR(__xludf.DUMMYFUNCTION("""COMPUTED_VALUE"""),"GAZZERA Christophe")</f>
        <v>GAZZERA Christophe</v>
      </c>
      <c r="B89" s="142" t="str">
        <f>IFERROR(__xludf.DUMMYFUNCTION("""COMPUTED_VALUE"""),"PE40")</f>
        <v>PE40</v>
      </c>
      <c r="C89" s="151">
        <f>IFERROR(__xludf.DUMMYFUNCTION("""COMPUTED_VALUE"""),46223.0)</f>
        <v>46223</v>
      </c>
      <c r="D89" s="143" t="str">
        <f t="shared" si="1"/>
        <v>ok</v>
      </c>
      <c r="E89" s="149" t="str">
        <f t="shared" si="2"/>
        <v>GAZZERA Christophe   ok</v>
      </c>
      <c r="F89" s="149" t="b">
        <f>IFERROR(__xludf.DUMMYFUNCTION("""COMPUTED_VALUE"""),FALSE)</f>
        <v>0</v>
      </c>
      <c r="G89" s="149" t="b">
        <f>IFERROR(__xludf.DUMMYFUNCTION("""COMPUTED_VALUE"""),TRUE)</f>
        <v>1</v>
      </c>
      <c r="H89" s="145" t="str">
        <f>IFERROR(__xludf.DUMMYFUNCTION("""COMPUTED_VALUE"""),"PE40")</f>
        <v>PE40</v>
      </c>
      <c r="K89" s="149" t="str">
        <f t="shared" si="3"/>
        <v>GAZZERA Christophe   ok   PE40</v>
      </c>
    </row>
    <row r="90" ht="15.75" customHeight="1">
      <c r="A90" s="149" t="str">
        <f>IFERROR(__xludf.DUMMYFUNCTION("""COMPUTED_VALUE"""),"GELLE JÉRÔME ")</f>
        <v>GELLE JÉRÔME </v>
      </c>
      <c r="B90" s="142" t="str">
        <f>IFERROR(__xludf.DUMMYFUNCTION("""COMPUTED_VALUE"""),"PE40")</f>
        <v>PE40</v>
      </c>
      <c r="C90" s="151">
        <f>IFERROR(__xludf.DUMMYFUNCTION("""COMPUTED_VALUE"""),46028.0)</f>
        <v>46028</v>
      </c>
      <c r="D90" s="143" t="str">
        <f t="shared" si="1"/>
        <v>ok</v>
      </c>
      <c r="E90" s="149" t="str">
        <f t="shared" si="2"/>
        <v>GELLE JÉRÔME    ok</v>
      </c>
      <c r="F90" s="149" t="b">
        <f>IFERROR(__xludf.DUMMYFUNCTION("""COMPUTED_VALUE"""),TRUE)</f>
        <v>1</v>
      </c>
      <c r="G90" s="149" t="b">
        <f>IFERROR(__xludf.DUMMYFUNCTION("""COMPUTED_VALUE"""),TRUE)</f>
        <v>1</v>
      </c>
      <c r="H90" s="145" t="str">
        <f>IFERROR(__xludf.DUMMYFUNCTION("""COMPUTED_VALUE"""),"PE40")</f>
        <v>PE40</v>
      </c>
      <c r="K90" s="149" t="str">
        <f t="shared" si="3"/>
        <v>GELLE JÉRÔME    ok   PE40</v>
      </c>
    </row>
    <row r="91" ht="15.75" customHeight="1">
      <c r="A91" s="149" t="str">
        <f>IFERROR(__xludf.DUMMYFUNCTION("""COMPUTED_VALUE"""),"GILLI Michael")</f>
        <v>GILLI Michael</v>
      </c>
      <c r="B91" s="142" t="str">
        <f>IFERROR(__xludf.DUMMYFUNCTION("""COMPUTED_VALUE"""),"PE20")</f>
        <v>PE20</v>
      </c>
      <c r="C91" s="151">
        <f>IFERROR(__xludf.DUMMYFUNCTION("""COMPUTED_VALUE"""),46239.0)</f>
        <v>46239</v>
      </c>
      <c r="D91" s="143" t="str">
        <f t="shared" si="1"/>
        <v>ok</v>
      </c>
      <c r="E91" s="149" t="str">
        <f t="shared" si="2"/>
        <v>GILLI Michael   ok</v>
      </c>
      <c r="F91" s="149" t="b">
        <f>IFERROR(__xludf.DUMMYFUNCTION("""COMPUTED_VALUE"""),FALSE)</f>
        <v>0</v>
      </c>
      <c r="G91" s="149" t="b">
        <f>IFERROR(__xludf.DUMMYFUNCTION("""COMPUTED_VALUE"""),TRUE)</f>
        <v>1</v>
      </c>
      <c r="H91" s="145" t="str">
        <f>IFERROR(__xludf.DUMMYFUNCTION("""COMPUTED_VALUE"""),"PE20")</f>
        <v>PE20</v>
      </c>
      <c r="K91" s="149" t="str">
        <f t="shared" si="3"/>
        <v>GILLI Michael   ok   PE20</v>
      </c>
    </row>
    <row r="92" ht="15.75" customHeight="1">
      <c r="A92" s="149" t="str">
        <f>IFERROR(__xludf.DUMMYFUNCTION("""COMPUTED_VALUE"""),"GILLI PHILIPPE")</f>
        <v>GILLI PHILIPPE</v>
      </c>
      <c r="B92" s="142" t="str">
        <f>IFERROR(__xludf.DUMMYFUNCTION("""COMPUTED_VALUE"""),"PA60  ")</f>
        <v>PA60  </v>
      </c>
      <c r="C92" s="151">
        <f>IFERROR(__xludf.DUMMYFUNCTION("""COMPUTED_VALUE"""),45946.0)</f>
        <v>45946</v>
      </c>
      <c r="D92" s="143" t="str">
        <f t="shared" si="1"/>
        <v>ok</v>
      </c>
      <c r="E92" s="149" t="str">
        <f t="shared" si="2"/>
        <v>GILLI PHILIPPE   ok</v>
      </c>
      <c r="F92" s="149" t="b">
        <f>IFERROR(__xludf.DUMMYFUNCTION("""COMPUTED_VALUE"""),TRUE)</f>
        <v>1</v>
      </c>
      <c r="G92" s="149" t="b">
        <f>IFERROR(__xludf.DUMMYFUNCTION("""COMPUTED_VALUE"""),TRUE)</f>
        <v>1</v>
      </c>
      <c r="H92" s="145" t="str">
        <f>IFERROR(__xludf.DUMMYFUNCTION("""COMPUTED_VALUE"""),"PA60  ")</f>
        <v>PA60  </v>
      </c>
      <c r="K92" s="149" t="str">
        <f t="shared" si="3"/>
        <v>GILLI PHILIPPE   ok   PA60  </v>
      </c>
    </row>
    <row r="93" ht="15.75" customHeight="1">
      <c r="A93" s="149" t="str">
        <f>IFERROR(__xludf.DUMMYFUNCTION("""COMPUTED_VALUE"""),"GIOANNI JEAN MARC")</f>
        <v>GIOANNI JEAN MARC</v>
      </c>
      <c r="B93" s="142" t="str">
        <f>IFERROR(__xludf.DUMMYFUNCTION("""COMPUTED_VALUE"""),"PA60 E1")</f>
        <v>PA60 E1</v>
      </c>
      <c r="C93" s="151">
        <f>IFERROR(__xludf.DUMMYFUNCTION("""COMPUTED_VALUE"""),46081.0)</f>
        <v>46081</v>
      </c>
      <c r="D93" s="143" t="str">
        <f t="shared" si="1"/>
        <v>ok</v>
      </c>
      <c r="E93" s="149" t="str">
        <f t="shared" si="2"/>
        <v>GIOANNI JEAN MARC   ok</v>
      </c>
      <c r="F93" s="149" t="b">
        <f>IFERROR(__xludf.DUMMYFUNCTION("""COMPUTED_VALUE"""),TRUE)</f>
        <v>1</v>
      </c>
      <c r="G93" s="149" t="b">
        <f>IFERROR(__xludf.DUMMYFUNCTION("""COMPUTED_VALUE"""),TRUE)</f>
        <v>1</v>
      </c>
      <c r="H93" s="145" t="str">
        <f>IFERROR(__xludf.DUMMYFUNCTION("""COMPUTED_VALUE"""),"PA60 E1")</f>
        <v>PA60 E1</v>
      </c>
      <c r="K93" s="149" t="str">
        <f t="shared" si="3"/>
        <v>GIOANNI JEAN MARC   ok   PA60 E1</v>
      </c>
    </row>
    <row r="94" ht="15.75" customHeight="1">
      <c r="A94" s="149" t="str">
        <f>IFERROR(__xludf.DUMMYFUNCTION("""COMPUTED_VALUE"""),"GIORNI JACQUES")</f>
        <v>GIORNI JACQUES</v>
      </c>
      <c r="B94" s="142" t="str">
        <f>IFERROR(__xludf.DUMMYFUNCTION("""COMPUTED_VALUE"""),"PA60  ")</f>
        <v>PA60  </v>
      </c>
      <c r="C94" s="151">
        <f>IFERROR(__xludf.DUMMYFUNCTION("""COMPUTED_VALUE"""),46031.0)</f>
        <v>46031</v>
      </c>
      <c r="D94" s="143" t="str">
        <f t="shared" si="1"/>
        <v>ok</v>
      </c>
      <c r="E94" s="149" t="str">
        <f t="shared" si="2"/>
        <v>GIORNI JACQUES   ok</v>
      </c>
      <c r="F94" s="149" t="b">
        <f>IFERROR(__xludf.DUMMYFUNCTION("""COMPUTED_VALUE"""),TRUE)</f>
        <v>1</v>
      </c>
      <c r="G94" s="149" t="b">
        <f>IFERROR(__xludf.DUMMYFUNCTION("""COMPUTED_VALUE"""),TRUE)</f>
        <v>1</v>
      </c>
      <c r="H94" s="145" t="str">
        <f>IFERROR(__xludf.DUMMYFUNCTION("""COMPUTED_VALUE"""),"PA60  ")</f>
        <v>PA60  </v>
      </c>
      <c r="K94" s="149" t="str">
        <f t="shared" si="3"/>
        <v>GIORNI JACQUES   ok   PA60  </v>
      </c>
    </row>
    <row r="95" ht="15.75" customHeight="1">
      <c r="A95" s="149" t="str">
        <f>IFERROR(__xludf.DUMMYFUNCTION("""COMPUTED_VALUE"""),"GIRELLI Jody")</f>
        <v>GIRELLI Jody</v>
      </c>
      <c r="B95" s="142" t="str">
        <f>IFERROR(__xludf.DUMMYFUNCTION("""COMPUTED_VALUE"""),"PE40 PA20")</f>
        <v>PE40 PA20</v>
      </c>
      <c r="C95" s="151">
        <f>IFERROR(__xludf.DUMMYFUNCTION("""COMPUTED_VALUE"""),46212.0)</f>
        <v>46212</v>
      </c>
      <c r="D95" s="143" t="str">
        <f t="shared" si="1"/>
        <v>ok</v>
      </c>
      <c r="E95" s="149" t="str">
        <f t="shared" si="2"/>
        <v>GIRELLI Jody   ok</v>
      </c>
      <c r="F95" s="149" t="b">
        <f>IFERROR(__xludf.DUMMYFUNCTION("""COMPUTED_VALUE"""),FALSE)</f>
        <v>0</v>
      </c>
      <c r="G95" s="149" t="b">
        <f>IFERROR(__xludf.DUMMYFUNCTION("""COMPUTED_VALUE"""),TRUE)</f>
        <v>1</v>
      </c>
      <c r="H95" s="145" t="str">
        <f>IFERROR(__xludf.DUMMYFUNCTION("""COMPUTED_VALUE"""),"PE40 PA20")</f>
        <v>PE40 PA20</v>
      </c>
      <c r="K95" s="149" t="str">
        <f t="shared" si="3"/>
        <v>GIRELLI Jody   ok   PE40 PA20</v>
      </c>
    </row>
    <row r="96" ht="15.75" customHeight="1">
      <c r="A96" s="149" t="str">
        <f>IFERROR(__xludf.DUMMYFUNCTION("""COMPUTED_VALUE"""),"GOMEZ	Léopold")</f>
        <v>GOMEZ	Léopold</v>
      </c>
      <c r="B96" s="142" t="str">
        <f>IFERROR(__xludf.DUMMYFUNCTION("""COMPUTED_VALUE"""),"PE20")</f>
        <v>PE20</v>
      </c>
      <c r="C96" s="151">
        <f>IFERROR(__xludf.DUMMYFUNCTION("""COMPUTED_VALUE"""),45953.0)</f>
        <v>45953</v>
      </c>
      <c r="D96" s="143" t="str">
        <f t="shared" si="1"/>
        <v>ok</v>
      </c>
      <c r="E96" s="149" t="str">
        <f t="shared" si="2"/>
        <v>GOMEZ	Léopold   ok</v>
      </c>
      <c r="F96" s="149" t="b">
        <f>IFERROR(__xludf.DUMMYFUNCTION("""COMPUTED_VALUE"""),FALSE)</f>
        <v>0</v>
      </c>
      <c r="G96" s="149" t="b">
        <f>IFERROR(__xludf.DUMMYFUNCTION("""COMPUTED_VALUE"""),TRUE)</f>
        <v>1</v>
      </c>
      <c r="H96" s="145" t="str">
        <f>IFERROR(__xludf.DUMMYFUNCTION("""COMPUTED_VALUE"""),"PE20")</f>
        <v>PE20</v>
      </c>
      <c r="K96" s="149" t="str">
        <f t="shared" si="3"/>
        <v>GOMEZ	Léopold   ok   PE20</v>
      </c>
    </row>
    <row r="97" ht="15.75" customHeight="1">
      <c r="A97" s="149" t="str">
        <f>IFERROR(__xludf.DUMMYFUNCTION("""COMPUTED_VALUE"""),"GOMEZ Sarah")</f>
        <v>GOMEZ Sarah</v>
      </c>
      <c r="B97" s="142" t="str">
        <f>IFERROR(__xludf.DUMMYFUNCTION("""COMPUTED_VALUE"""),"N1")</f>
        <v>N1</v>
      </c>
      <c r="C97" s="151">
        <f>IFERROR(__xludf.DUMMYFUNCTION("""COMPUTED_VALUE"""),46224.0)</f>
        <v>46224</v>
      </c>
      <c r="D97" s="143" t="str">
        <f t="shared" si="1"/>
        <v>ok</v>
      </c>
      <c r="E97" s="149" t="str">
        <f t="shared" si="2"/>
        <v>GOMEZ Sarah   ok</v>
      </c>
      <c r="F97" s="149" t="b">
        <f>IFERROR(__xludf.DUMMYFUNCTION("""COMPUTED_VALUE"""),FALSE)</f>
        <v>0</v>
      </c>
      <c r="G97" s="149" t="b">
        <f>IFERROR(__xludf.DUMMYFUNCTION("""COMPUTED_VALUE"""),TRUE)</f>
        <v>1</v>
      </c>
      <c r="H97" s="145" t="str">
        <f>IFERROR(__xludf.DUMMYFUNCTION("""COMPUTED_VALUE"""),"N1")</f>
        <v>N1</v>
      </c>
      <c r="K97" s="149" t="str">
        <f t="shared" si="3"/>
        <v>GOMEZ Sarah   ok   N1</v>
      </c>
    </row>
    <row r="98" ht="15.75" customHeight="1">
      <c r="A98" s="149" t="str">
        <f>IFERROR(__xludf.DUMMYFUNCTION("""COMPUTED_VALUE"""),"Gonzalez	Theo")</f>
        <v>Gonzalez	Theo</v>
      </c>
      <c r="B98" s="142" t="str">
        <f>IFERROR(__xludf.DUMMYFUNCTION("""COMPUTED_VALUE"""),"PE20")</f>
        <v>PE20</v>
      </c>
      <c r="C98" s="151">
        <f>IFERROR(__xludf.DUMMYFUNCTION("""COMPUTED_VALUE"""),46058.0)</f>
        <v>46058</v>
      </c>
      <c r="D98" s="143" t="str">
        <f t="shared" si="1"/>
        <v>ok</v>
      </c>
      <c r="E98" s="149" t="str">
        <f t="shared" si="2"/>
        <v>Gonzalez	Theo   ok</v>
      </c>
      <c r="F98" s="149" t="b">
        <f>IFERROR(__xludf.DUMMYFUNCTION("""COMPUTED_VALUE"""),FALSE)</f>
        <v>0</v>
      </c>
      <c r="G98" s="149" t="b">
        <f>IFERROR(__xludf.DUMMYFUNCTION("""COMPUTED_VALUE"""),TRUE)</f>
        <v>1</v>
      </c>
      <c r="H98" s="145" t="str">
        <f>IFERROR(__xludf.DUMMYFUNCTION("""COMPUTED_VALUE"""),"PE20")</f>
        <v>PE20</v>
      </c>
      <c r="K98" s="149" t="str">
        <f t="shared" si="3"/>
        <v>Gonzalez	Theo   ok   PE20</v>
      </c>
    </row>
    <row r="99" ht="15.75" customHeight="1">
      <c r="A99" s="149" t="str">
        <f>IFERROR(__xludf.DUMMYFUNCTION("""COMPUTED_VALUE"""),"GOURAUD ARTHUR")</f>
        <v>GOURAUD ARTHUR</v>
      </c>
      <c r="B99" s="142" t="str">
        <f>IFERROR(__xludf.DUMMYFUNCTION("""COMPUTED_VALUE"""),"PE20")</f>
        <v>PE20</v>
      </c>
      <c r="C99" s="151">
        <f>IFERROR(__xludf.DUMMYFUNCTION("""COMPUTED_VALUE"""),46038.0)</f>
        <v>46038</v>
      </c>
      <c r="D99" s="143" t="str">
        <f t="shared" si="1"/>
        <v>ok</v>
      </c>
      <c r="E99" s="149" t="str">
        <f t="shared" si="2"/>
        <v>GOURAUD ARTHUR   ok</v>
      </c>
      <c r="F99" s="149" t="b">
        <f>IFERROR(__xludf.DUMMYFUNCTION("""COMPUTED_VALUE"""),FALSE)</f>
        <v>0</v>
      </c>
      <c r="G99" s="149" t="b">
        <f>IFERROR(__xludf.DUMMYFUNCTION("""COMPUTED_VALUE"""),TRUE)</f>
        <v>1</v>
      </c>
      <c r="H99" s="145" t="str">
        <f>IFERROR(__xludf.DUMMYFUNCTION("""COMPUTED_VALUE"""),"PE20")</f>
        <v>PE20</v>
      </c>
      <c r="K99" s="149" t="str">
        <f t="shared" si="3"/>
        <v>GOURAUD ARTHUR   ok   PE20</v>
      </c>
    </row>
    <row r="100" ht="15.75" customHeight="1">
      <c r="A100" s="149" t="str">
        <f>IFERROR(__xludf.DUMMYFUNCTION("""COMPUTED_VALUE"""),"GUILLAUME VINCENT")</f>
        <v>GUILLAUME VINCENT</v>
      </c>
      <c r="B100" s="142" t="str">
        <f>IFERROR(__xludf.DUMMYFUNCTION("""COMPUTED_VALUE"""),"GP")</f>
        <v>GP</v>
      </c>
      <c r="C100" s="151">
        <f>IFERROR(__xludf.DUMMYFUNCTION("""COMPUTED_VALUE"""),45931.0)</f>
        <v>45931</v>
      </c>
      <c r="D100" s="143" t="str">
        <f t="shared" si="1"/>
        <v>ok</v>
      </c>
      <c r="E100" s="149" t="str">
        <f t="shared" si="2"/>
        <v>GUILLAUME VINCENT   ok</v>
      </c>
      <c r="F100" s="149" t="b">
        <f>IFERROR(__xludf.DUMMYFUNCTION("""COMPUTED_VALUE"""),TRUE)</f>
        <v>1</v>
      </c>
      <c r="G100" s="149" t="b">
        <f>IFERROR(__xludf.DUMMYFUNCTION("""COMPUTED_VALUE"""),TRUE)</f>
        <v>1</v>
      </c>
      <c r="H100" s="145" t="str">
        <f>IFERROR(__xludf.DUMMYFUNCTION("""COMPUTED_VALUE"""),"GP")</f>
        <v>GP</v>
      </c>
      <c r="K100" s="149" t="str">
        <f t="shared" si="3"/>
        <v>GUILLAUME VINCENT   ok   GP</v>
      </c>
    </row>
    <row r="101" ht="15.75" customHeight="1">
      <c r="A101" s="149" t="str">
        <f>IFERROR(__xludf.DUMMYFUNCTION("""COMPUTED_VALUE"""),"GUILLON JUlien")</f>
        <v>GUILLON JUlien</v>
      </c>
      <c r="B101" s="142" t="str">
        <f>IFERROR(__xludf.DUMMYFUNCTION("""COMPUTED_VALUE"""),"PE40 PA20")</f>
        <v>PE40 PA20</v>
      </c>
      <c r="C101" s="151">
        <f>IFERROR(__xludf.DUMMYFUNCTION("""COMPUTED_VALUE"""),46185.0)</f>
        <v>46185</v>
      </c>
      <c r="D101" s="143" t="str">
        <f t="shared" si="1"/>
        <v>ok</v>
      </c>
      <c r="E101" s="149" t="str">
        <f t="shared" si="2"/>
        <v>GUILLON JUlien   ok</v>
      </c>
      <c r="F101" s="149" t="b">
        <f>IFERROR(__xludf.DUMMYFUNCTION("""COMPUTED_VALUE"""),FALSE)</f>
        <v>0</v>
      </c>
      <c r="G101" s="149" t="b">
        <f>IFERROR(__xludf.DUMMYFUNCTION("""COMPUTED_VALUE"""),TRUE)</f>
        <v>1</v>
      </c>
      <c r="H101" s="145" t="str">
        <f>IFERROR(__xludf.DUMMYFUNCTION("""COMPUTED_VALUE"""),"PE40 PA20")</f>
        <v>PE40 PA20</v>
      </c>
      <c r="K101" s="149" t="str">
        <f t="shared" si="3"/>
        <v>GUILLON JUlien   ok   PE40 PA20</v>
      </c>
    </row>
    <row r="102" ht="15.75" customHeight="1">
      <c r="A102" s="149" t="str">
        <f>IFERROR(__xludf.DUMMYFUNCTION("""COMPUTED_VALUE"""),"HABIB Léa")</f>
        <v>HABIB Léa</v>
      </c>
      <c r="B102" s="142" t="str">
        <f>IFERROR(__xludf.DUMMYFUNCTION("""COMPUTED_VALUE"""),"PE20")</f>
        <v>PE20</v>
      </c>
      <c r="C102" s="151">
        <f>IFERROR(__xludf.DUMMYFUNCTION("""COMPUTED_VALUE"""),46204.0)</f>
        <v>46204</v>
      </c>
      <c r="D102" s="143" t="str">
        <f t="shared" si="1"/>
        <v>ok</v>
      </c>
      <c r="E102" s="149" t="str">
        <f t="shared" si="2"/>
        <v>HABIB Léa   ok</v>
      </c>
      <c r="F102" s="149" t="b">
        <f>IFERROR(__xludf.DUMMYFUNCTION("""COMPUTED_VALUE"""),FALSE)</f>
        <v>0</v>
      </c>
      <c r="G102" s="149" t="b">
        <f>IFERROR(__xludf.DUMMYFUNCTION("""COMPUTED_VALUE"""),TRUE)</f>
        <v>1</v>
      </c>
      <c r="H102" s="145" t="str">
        <f>IFERROR(__xludf.DUMMYFUNCTION("""COMPUTED_VALUE"""),"PE20")</f>
        <v>PE20</v>
      </c>
      <c r="K102" s="149" t="str">
        <f t="shared" si="3"/>
        <v>HABIB Léa   ok   PE20</v>
      </c>
    </row>
    <row r="103" ht="15.75" customHeight="1">
      <c r="A103" s="149" t="str">
        <f>IFERROR(__xludf.DUMMYFUNCTION("""COMPUTED_VALUE"""),"HAMON FRANCK")</f>
        <v>HAMON FRANCK</v>
      </c>
      <c r="B103" s="142" t="str">
        <f>IFERROR(__xludf.DUMMYFUNCTION("""COMPUTED_VALUE"""),"E2 P5")</f>
        <v>E2 P5</v>
      </c>
      <c r="C103" s="151">
        <f>IFERROR(__xludf.DUMMYFUNCTION("""COMPUTED_VALUE"""),46077.0)</f>
        <v>46077</v>
      </c>
      <c r="D103" s="143" t="str">
        <f t="shared" si="1"/>
        <v>ok</v>
      </c>
      <c r="E103" s="149" t="str">
        <f t="shared" si="2"/>
        <v>HAMON FRANCK   ok</v>
      </c>
      <c r="F103" s="149" t="b">
        <f>IFERROR(__xludf.DUMMYFUNCTION("""COMPUTED_VALUE"""),TRUE)</f>
        <v>1</v>
      </c>
      <c r="G103" s="149" t="b">
        <f>IFERROR(__xludf.DUMMYFUNCTION("""COMPUTED_VALUE"""),TRUE)</f>
        <v>1</v>
      </c>
      <c r="H103" s="145" t="str">
        <f>IFERROR(__xludf.DUMMYFUNCTION("""COMPUTED_VALUE"""),"E2 P5")</f>
        <v>E2 P5</v>
      </c>
      <c r="K103" s="149" t="str">
        <f t="shared" si="3"/>
        <v>HAMON FRANCK   ok   E2 P5</v>
      </c>
    </row>
    <row r="104" ht="15.75" customHeight="1">
      <c r="A104" s="149" t="str">
        <f>IFERROR(__xludf.DUMMYFUNCTION("""COMPUTED_VALUE"""),"HASENY Mohamed")</f>
        <v>HASENY Mohamed</v>
      </c>
      <c r="B104" s="142" t="str">
        <f>IFERROR(__xludf.DUMMYFUNCTION("""COMPUTED_VALUE"""),"GP")</f>
        <v>GP</v>
      </c>
      <c r="C104" s="151">
        <f>IFERROR(__xludf.DUMMYFUNCTION("""COMPUTED_VALUE"""),45851.0)</f>
        <v>45851</v>
      </c>
      <c r="D104" s="143" t="str">
        <f t="shared" si="1"/>
        <v>ko</v>
      </c>
      <c r="E104" s="149" t="str">
        <f t="shared" si="2"/>
        <v>HASENY Mohamed   ko</v>
      </c>
      <c r="F104" s="149" t="b">
        <f>IFERROR(__xludf.DUMMYFUNCTION("""COMPUTED_VALUE"""),FALSE)</f>
        <v>0</v>
      </c>
      <c r="G104" s="149" t="b">
        <f>IFERROR(__xludf.DUMMYFUNCTION("""COMPUTED_VALUE"""),TRUE)</f>
        <v>1</v>
      </c>
      <c r="H104" s="145" t="str">
        <f>IFERROR(__xludf.DUMMYFUNCTION("""COMPUTED_VALUE"""),"GP")</f>
        <v>GP</v>
      </c>
      <c r="K104" s="149" t="str">
        <f t="shared" si="3"/>
        <v>HASENY Mohamed   ko   GP</v>
      </c>
    </row>
    <row r="105" ht="15.75" customHeight="1">
      <c r="A105" s="149" t="str">
        <f>IFERROR(__xludf.DUMMYFUNCTION("""COMPUTED_VALUE"""),"HERMANT MATHIEU")</f>
        <v>HERMANT MATHIEU</v>
      </c>
      <c r="B105" s="142" t="str">
        <f>IFERROR(__xludf.DUMMYFUNCTION("""COMPUTED_VALUE"""),"non plongeur")</f>
        <v>non plongeur</v>
      </c>
      <c r="C105" s="151">
        <f>IFERROR(__xludf.DUMMYFUNCTION("""COMPUTED_VALUE"""),45262.0)</f>
        <v>45262</v>
      </c>
      <c r="D105" s="143" t="str">
        <f t="shared" si="1"/>
        <v>ko</v>
      </c>
      <c r="E105" s="149" t="str">
        <f t="shared" si="2"/>
        <v>HERMANT MATHIEU   ko</v>
      </c>
      <c r="F105" s="149" t="b">
        <f>IFERROR(__xludf.DUMMYFUNCTION("""COMPUTED_VALUE"""),TRUE)</f>
        <v>1</v>
      </c>
      <c r="G105" s="149" t="b">
        <f>IFERROR(__xludf.DUMMYFUNCTION("""COMPUTED_VALUE"""),TRUE)</f>
        <v>1</v>
      </c>
      <c r="H105" s="145" t="str">
        <f>IFERROR(__xludf.DUMMYFUNCTION("""COMPUTED_VALUE"""),"non plongeur")</f>
        <v>non plongeur</v>
      </c>
      <c r="K105" s="149" t="str">
        <f t="shared" si="3"/>
        <v>HERMANT MATHIEU   ko   non plongeur</v>
      </c>
    </row>
    <row r="106" ht="15.75" customHeight="1">
      <c r="A106" s="149" t="str">
        <f>IFERROR(__xludf.DUMMYFUNCTION("""COMPUTED_VALUE"""),"HOSMALIN JEAN MICHEL")</f>
        <v>HOSMALIN JEAN MICHEL</v>
      </c>
      <c r="B106" s="142" t="str">
        <f>IFERROR(__xludf.DUMMYFUNCTION("""COMPUTED_VALUE"""),"PE40 PA20")</f>
        <v>PE40 PA20</v>
      </c>
      <c r="C106" s="151">
        <f>IFERROR(__xludf.DUMMYFUNCTION("""COMPUTED_VALUE"""),45918.0)</f>
        <v>45918</v>
      </c>
      <c r="D106" s="143" t="str">
        <f t="shared" si="1"/>
        <v>ko</v>
      </c>
      <c r="E106" s="149" t="str">
        <f t="shared" si="2"/>
        <v>HOSMALIN JEAN MICHEL   ko</v>
      </c>
      <c r="F106" s="149" t="b">
        <f>IFERROR(__xludf.DUMMYFUNCTION("""COMPUTED_VALUE"""),TRUE)</f>
        <v>1</v>
      </c>
      <c r="G106" s="149" t="b">
        <f>IFERROR(__xludf.DUMMYFUNCTION("""COMPUTED_VALUE"""),TRUE)</f>
        <v>1</v>
      </c>
      <c r="H106" s="145" t="str">
        <f>IFERROR(__xludf.DUMMYFUNCTION("""COMPUTED_VALUE"""),"PE40 PA20")</f>
        <v>PE40 PA20</v>
      </c>
      <c r="K106" s="149" t="str">
        <f t="shared" si="3"/>
        <v>HOSMALIN JEAN MICHEL   ko   PE40 PA20</v>
      </c>
    </row>
    <row r="107" ht="15.75" customHeight="1">
      <c r="A107" s="149" t="str">
        <f>IFERROR(__xludf.DUMMYFUNCTION("""COMPUTED_VALUE"""),"HOURQUEBIE Adrien")</f>
        <v>HOURQUEBIE Adrien</v>
      </c>
      <c r="B107" s="142" t="str">
        <f>IFERROR(__xludf.DUMMYFUNCTION("""COMPUTED_VALUE"""),"PE40 PA20")</f>
        <v>PE40 PA20</v>
      </c>
      <c r="C107" s="151">
        <f>IFERROR(__xludf.DUMMYFUNCTION("""COMPUTED_VALUE"""),45931.0)</f>
        <v>45931</v>
      </c>
      <c r="D107" s="143" t="str">
        <f t="shared" si="1"/>
        <v>ok</v>
      </c>
      <c r="E107" s="149" t="str">
        <f t="shared" si="2"/>
        <v>HOURQUEBIE Adrien   ok</v>
      </c>
      <c r="F107" s="149" t="b">
        <f>IFERROR(__xludf.DUMMYFUNCTION("""COMPUTED_VALUE"""),TRUE)</f>
        <v>1</v>
      </c>
      <c r="G107" s="149" t="b">
        <f>IFERROR(__xludf.DUMMYFUNCTION("""COMPUTED_VALUE"""),TRUE)</f>
        <v>1</v>
      </c>
      <c r="H107" s="145" t="str">
        <f>IFERROR(__xludf.DUMMYFUNCTION("""COMPUTED_VALUE"""),"PE40 PA20")</f>
        <v>PE40 PA20</v>
      </c>
      <c r="K107" s="149" t="str">
        <f t="shared" si="3"/>
        <v>HOURQUEBIE Adrien   ok   PE40 PA20</v>
      </c>
    </row>
    <row r="108" ht="15.75" customHeight="1">
      <c r="A108" s="149" t="str">
        <f>IFERROR(__xludf.DUMMYFUNCTION("""COMPUTED_VALUE"""),"HUCHET PHILIPPE")</f>
        <v>HUCHET PHILIPPE</v>
      </c>
      <c r="B108" s="142" t="str">
        <f>IFERROR(__xludf.DUMMYFUNCTION("""COMPUTED_VALUE"""),"PA60  ")</f>
        <v>PA60  </v>
      </c>
      <c r="C108" s="151">
        <f>IFERROR(__xludf.DUMMYFUNCTION("""COMPUTED_VALUE"""),46120.0)</f>
        <v>46120</v>
      </c>
      <c r="D108" s="143" t="str">
        <f t="shared" si="1"/>
        <v>ok</v>
      </c>
      <c r="E108" s="149" t="str">
        <f t="shared" si="2"/>
        <v>HUCHET PHILIPPE   ok</v>
      </c>
      <c r="F108" s="149" t="b">
        <f>IFERROR(__xludf.DUMMYFUNCTION("""COMPUTED_VALUE"""),TRUE)</f>
        <v>1</v>
      </c>
      <c r="G108" s="149" t="b">
        <f>IFERROR(__xludf.DUMMYFUNCTION("""COMPUTED_VALUE"""),TRUE)</f>
        <v>1</v>
      </c>
      <c r="H108" s="145" t="str">
        <f>IFERROR(__xludf.DUMMYFUNCTION("""COMPUTED_VALUE"""),"PA60  ")</f>
        <v>PA60  </v>
      </c>
      <c r="K108" s="149" t="str">
        <f t="shared" si="3"/>
        <v>HUCHET PHILIPPE   ok   PA60  </v>
      </c>
    </row>
    <row r="109" ht="15.75" customHeight="1">
      <c r="A109" s="149" t="str">
        <f>IFERROR(__xludf.DUMMYFUNCTION("""COMPUTED_VALUE"""),"HUDRY SYLVAIN")</f>
        <v>HUDRY SYLVAIN</v>
      </c>
      <c r="B109" s="142" t="str">
        <f>IFERROR(__xludf.DUMMYFUNCTION("""COMPUTED_VALUE"""),"E4")</f>
        <v>E4</v>
      </c>
      <c r="C109" s="151">
        <f>IFERROR(__xludf.DUMMYFUNCTION("""COMPUTED_VALUE"""),46038.0)</f>
        <v>46038</v>
      </c>
      <c r="D109" s="143" t="str">
        <f t="shared" si="1"/>
        <v>ok</v>
      </c>
      <c r="E109" s="149" t="str">
        <f t="shared" si="2"/>
        <v>HUDRY SYLVAIN   ok</v>
      </c>
      <c r="F109" s="149" t="b">
        <f>IFERROR(__xludf.DUMMYFUNCTION("""COMPUTED_VALUE"""),TRUE)</f>
        <v>1</v>
      </c>
      <c r="G109" s="149" t="b">
        <f>IFERROR(__xludf.DUMMYFUNCTION("""COMPUTED_VALUE"""),TRUE)</f>
        <v>1</v>
      </c>
      <c r="H109" s="145" t="str">
        <f>IFERROR(__xludf.DUMMYFUNCTION("""COMPUTED_VALUE"""),"E4")</f>
        <v>E4</v>
      </c>
      <c r="K109" s="149" t="str">
        <f t="shared" si="3"/>
        <v>HUDRY SYLVAIN   ok   E4</v>
      </c>
    </row>
    <row r="110" ht="15.75" customHeight="1">
      <c r="A110" s="149" t="str">
        <f>IFERROR(__xludf.DUMMYFUNCTION("""COMPUTED_VALUE"""),"HURBLAIN DYLAN")</f>
        <v>HURBLAIN DYLAN</v>
      </c>
      <c r="B110" s="142" t="str">
        <f>IFERROR(__xludf.DUMMYFUNCTION("""COMPUTED_VALUE"""),"GP")</f>
        <v>GP</v>
      </c>
      <c r="C110" s="151">
        <f>IFERROR(__xludf.DUMMYFUNCTION("""COMPUTED_VALUE"""),46220.0)</f>
        <v>46220</v>
      </c>
      <c r="D110" s="143" t="str">
        <f t="shared" si="1"/>
        <v>ok</v>
      </c>
      <c r="E110" s="149" t="str">
        <f t="shared" si="2"/>
        <v>HURBLAIN DYLAN   ok</v>
      </c>
      <c r="F110" s="149" t="b">
        <f>IFERROR(__xludf.DUMMYFUNCTION("""COMPUTED_VALUE"""),TRUE)</f>
        <v>1</v>
      </c>
      <c r="G110" s="149" t="b">
        <f>IFERROR(__xludf.DUMMYFUNCTION("""COMPUTED_VALUE"""),TRUE)</f>
        <v>1</v>
      </c>
      <c r="H110" s="145" t="str">
        <f>IFERROR(__xludf.DUMMYFUNCTION("""COMPUTED_VALUE"""),"GP")</f>
        <v>GP</v>
      </c>
      <c r="K110" s="149" t="str">
        <f t="shared" si="3"/>
        <v>HURBLAIN DYLAN   ok   GP</v>
      </c>
    </row>
    <row r="111" ht="15.75" customHeight="1">
      <c r="A111" s="149" t="str">
        <f>IFERROR(__xludf.DUMMYFUNCTION("""COMPUTED_VALUE"""),"ICARDI FRANCOIS")</f>
        <v>ICARDI FRANCOIS</v>
      </c>
      <c r="B111" s="142" t="str">
        <f>IFERROR(__xludf.DUMMYFUNCTION("""COMPUTED_VALUE"""),"PA60  ")</f>
        <v>PA60  </v>
      </c>
      <c r="C111" s="151">
        <f>IFERROR(__xludf.DUMMYFUNCTION("""COMPUTED_VALUE"""),45953.0)</f>
        <v>45953</v>
      </c>
      <c r="D111" s="143" t="str">
        <f t="shared" si="1"/>
        <v>ok</v>
      </c>
      <c r="E111" s="149" t="str">
        <f t="shared" si="2"/>
        <v>ICARDI FRANCOIS   ok</v>
      </c>
      <c r="F111" s="149" t="b">
        <f>IFERROR(__xludf.DUMMYFUNCTION("""COMPUTED_VALUE"""),TRUE)</f>
        <v>1</v>
      </c>
      <c r="G111" s="149" t="b">
        <f>IFERROR(__xludf.DUMMYFUNCTION("""COMPUTED_VALUE"""),TRUE)</f>
        <v>1</v>
      </c>
      <c r="H111" s="145" t="str">
        <f>IFERROR(__xludf.DUMMYFUNCTION("""COMPUTED_VALUE"""),"PA60  ")</f>
        <v>PA60  </v>
      </c>
      <c r="K111" s="149" t="str">
        <f t="shared" si="3"/>
        <v>ICARDI FRANCOIS   ok   PA60  </v>
      </c>
    </row>
    <row r="112" ht="15.75" customHeight="1">
      <c r="A112" s="149" t="str">
        <f>IFERROR(__xludf.DUMMYFUNCTION("""COMPUTED_VALUE"""),"JANUARIO Lucas")</f>
        <v>JANUARIO Lucas</v>
      </c>
      <c r="B112" s="142" t="str">
        <f>IFERROR(__xludf.DUMMYFUNCTION("""COMPUTED_VALUE"""),"T1")</f>
        <v>T1</v>
      </c>
      <c r="C112" s="151">
        <f>IFERROR(__xludf.DUMMYFUNCTION("""COMPUTED_VALUE"""),46176.0)</f>
        <v>46176</v>
      </c>
      <c r="D112" s="143" t="str">
        <f t="shared" si="1"/>
        <v>ok</v>
      </c>
      <c r="E112" s="149" t="str">
        <f t="shared" si="2"/>
        <v>JANUARIO Lucas   ok</v>
      </c>
      <c r="F112" s="149" t="b">
        <f>IFERROR(__xludf.DUMMYFUNCTION("""COMPUTED_VALUE"""),FALSE)</f>
        <v>0</v>
      </c>
      <c r="G112" s="149" t="b">
        <f>IFERROR(__xludf.DUMMYFUNCTION("""COMPUTED_VALUE"""),TRUE)</f>
        <v>1</v>
      </c>
      <c r="H112" s="145" t="str">
        <f>IFERROR(__xludf.DUMMYFUNCTION("""COMPUTED_VALUE"""),"T1")</f>
        <v>T1</v>
      </c>
      <c r="K112" s="149" t="str">
        <f t="shared" si="3"/>
        <v>JANUARIO Lucas   ok   T1</v>
      </c>
    </row>
    <row r="113" ht="15.75" customHeight="1">
      <c r="A113" s="149" t="str">
        <f>IFERROR(__xludf.DUMMYFUNCTION("""COMPUTED_VALUE"""),"jauny caporossi Rafael")</f>
        <v>jauny caporossi Rafael</v>
      </c>
      <c r="B113" s="142" t="str">
        <f>IFERROR(__xludf.DUMMYFUNCTION("""COMPUTED_VALUE"""),"PE20")</f>
        <v>PE20</v>
      </c>
      <c r="C113" s="151">
        <f>IFERROR(__xludf.DUMMYFUNCTION("""COMPUTED_VALUE"""),46107.0)</f>
        <v>46107</v>
      </c>
      <c r="D113" s="143" t="str">
        <f t="shared" si="1"/>
        <v>ok</v>
      </c>
      <c r="E113" s="149" t="str">
        <f t="shared" si="2"/>
        <v>jauny caporossi Rafael   ok</v>
      </c>
      <c r="F113" s="149" t="b">
        <f>IFERROR(__xludf.DUMMYFUNCTION("""COMPUTED_VALUE"""),FALSE)</f>
        <v>0</v>
      </c>
      <c r="G113" s="149" t="b">
        <f>IFERROR(__xludf.DUMMYFUNCTION("""COMPUTED_VALUE"""),TRUE)</f>
        <v>1</v>
      </c>
      <c r="H113" s="145" t="str">
        <f>IFERROR(__xludf.DUMMYFUNCTION("""COMPUTED_VALUE"""),"PE20")</f>
        <v>PE20</v>
      </c>
      <c r="K113" s="149" t="str">
        <f t="shared" si="3"/>
        <v>jauny caporossi Rafael   ok   PE20</v>
      </c>
    </row>
    <row r="114" ht="15.75" customHeight="1">
      <c r="A114" s="149" t="str">
        <f>IFERROR(__xludf.DUMMYFUNCTION("""COMPUTED_VALUE"""),"JAUVAT STEPHANE")</f>
        <v>JAUVAT STEPHANE</v>
      </c>
      <c r="B114" s="142" t="str">
        <f>IFERROR(__xludf.DUMMYFUNCTION("""COMPUTED_VALUE"""),"GP")</f>
        <v>GP</v>
      </c>
      <c r="C114" s="151">
        <f>IFERROR(__xludf.DUMMYFUNCTION("""COMPUTED_VALUE"""),46152.0)</f>
        <v>46152</v>
      </c>
      <c r="D114" s="143" t="str">
        <f t="shared" si="1"/>
        <v>ok</v>
      </c>
      <c r="E114" s="149" t="str">
        <f t="shared" si="2"/>
        <v>JAUVAT STEPHANE   ok</v>
      </c>
      <c r="F114" s="149" t="b">
        <f>IFERROR(__xludf.DUMMYFUNCTION("""COMPUTED_VALUE"""),TRUE)</f>
        <v>1</v>
      </c>
      <c r="G114" s="149" t="b">
        <f>IFERROR(__xludf.DUMMYFUNCTION("""COMPUTED_VALUE"""),TRUE)</f>
        <v>1</v>
      </c>
      <c r="H114" s="145" t="str">
        <f>IFERROR(__xludf.DUMMYFUNCTION("""COMPUTED_VALUE"""),"GP")</f>
        <v>GP</v>
      </c>
      <c r="K114" s="149" t="str">
        <f t="shared" si="3"/>
        <v>JAUVAT STEPHANE   ok   GP</v>
      </c>
    </row>
    <row r="115" ht="15.75" customHeight="1">
      <c r="A115" s="149" t="str">
        <f>IFERROR(__xludf.DUMMYFUNCTION("""COMPUTED_VALUE"""),"JEDOUX THIERRY")</f>
        <v>JEDOUX THIERRY</v>
      </c>
      <c r="B115" s="142" t="str">
        <f>IFERROR(__xludf.DUMMYFUNCTION("""COMPUTED_VALUE"""),"PA60 E1")</f>
        <v>PA60 E1</v>
      </c>
      <c r="C115" s="151">
        <f>IFERROR(__xludf.DUMMYFUNCTION("""COMPUTED_VALUE"""),46154.0)</f>
        <v>46154</v>
      </c>
      <c r="D115" s="143" t="str">
        <f t="shared" si="1"/>
        <v>ok</v>
      </c>
      <c r="E115" s="149" t="str">
        <f t="shared" si="2"/>
        <v>JEDOUX THIERRY   ok</v>
      </c>
      <c r="F115" s="149" t="b">
        <f>IFERROR(__xludf.DUMMYFUNCTION("""COMPUTED_VALUE"""),TRUE)</f>
        <v>1</v>
      </c>
      <c r="G115" s="149" t="b">
        <f>IFERROR(__xludf.DUMMYFUNCTION("""COMPUTED_VALUE"""),TRUE)</f>
        <v>1</v>
      </c>
      <c r="H115" s="145" t="str">
        <f>IFERROR(__xludf.DUMMYFUNCTION("""COMPUTED_VALUE"""),"PA60 E1")</f>
        <v>PA60 E1</v>
      </c>
      <c r="K115" s="149" t="str">
        <f t="shared" si="3"/>
        <v>JEDOUX THIERRY   ok   PA60 E1</v>
      </c>
    </row>
    <row r="116" ht="15.75" customHeight="1">
      <c r="A116" s="149" t="str">
        <f>IFERROR(__xludf.DUMMYFUNCTION("""COMPUTED_VALUE"""),"JOLY Florence")</f>
        <v>JOLY Florence</v>
      </c>
      <c r="B116" s="142" t="str">
        <f>IFERROR(__xludf.DUMMYFUNCTION("""COMPUTED_VALUE"""),"PA60  ")</f>
        <v>PA60  </v>
      </c>
      <c r="C116" s="151">
        <f>IFERROR(__xludf.DUMMYFUNCTION("""COMPUTED_VALUE"""),46183.0)</f>
        <v>46183</v>
      </c>
      <c r="D116" s="143" t="str">
        <f t="shared" si="1"/>
        <v>ok</v>
      </c>
      <c r="E116" s="149" t="str">
        <f t="shared" si="2"/>
        <v>JOLY Florence   ok</v>
      </c>
      <c r="F116" s="149" t="b">
        <f>IFERROR(__xludf.DUMMYFUNCTION("""COMPUTED_VALUE"""),FALSE)</f>
        <v>0</v>
      </c>
      <c r="G116" s="149" t="b">
        <f>IFERROR(__xludf.DUMMYFUNCTION("""COMPUTED_VALUE"""),TRUE)</f>
        <v>1</v>
      </c>
      <c r="H116" s="145" t="str">
        <f>IFERROR(__xludf.DUMMYFUNCTION("""COMPUTED_VALUE"""),"PA60  ")</f>
        <v>PA60  </v>
      </c>
      <c r="K116" s="149" t="str">
        <f t="shared" si="3"/>
        <v>JOLY Florence   ok   PA60  </v>
      </c>
    </row>
    <row r="117" ht="15.75" customHeight="1">
      <c r="A117" s="149" t="str">
        <f>IFERROR(__xludf.DUMMYFUNCTION("""COMPUTED_VALUE"""),"Jore Kyllian")</f>
        <v>Jore Kyllian</v>
      </c>
      <c r="B117" s="142" t="str">
        <f>IFERROR(__xludf.DUMMYFUNCTION("""COMPUTED_VALUE"""),"PE20")</f>
        <v>PE20</v>
      </c>
      <c r="C117" s="151">
        <f>IFERROR(__xludf.DUMMYFUNCTION("""COMPUTED_VALUE"""),45897.0)</f>
        <v>45897</v>
      </c>
      <c r="D117" s="143" t="str">
        <f t="shared" si="1"/>
        <v>ko</v>
      </c>
      <c r="E117" s="149" t="str">
        <f t="shared" si="2"/>
        <v>Jore Kyllian   ko</v>
      </c>
      <c r="F117" s="149" t="b">
        <f>IFERROR(__xludf.DUMMYFUNCTION("""COMPUTED_VALUE"""),FALSE)</f>
        <v>0</v>
      </c>
      <c r="G117" s="149" t="b">
        <f>IFERROR(__xludf.DUMMYFUNCTION("""COMPUTED_VALUE"""),TRUE)</f>
        <v>1</v>
      </c>
      <c r="H117" s="145" t="str">
        <f>IFERROR(__xludf.DUMMYFUNCTION("""COMPUTED_VALUE"""),"PE20")</f>
        <v>PE20</v>
      </c>
      <c r="K117" s="149" t="str">
        <f t="shared" si="3"/>
        <v>Jore Kyllian   ko   PE20</v>
      </c>
    </row>
    <row r="118" ht="15.75" customHeight="1">
      <c r="A118" s="149" t="str">
        <f>IFERROR(__xludf.DUMMYFUNCTION("""COMPUTED_VALUE"""),"JULLIEN Roger")</f>
        <v>JULLIEN Roger</v>
      </c>
      <c r="B118" s="142" t="str">
        <f>IFERROR(__xludf.DUMMYFUNCTION("""COMPUTED_VALUE"""),"PA60  ")</f>
        <v>PA60  </v>
      </c>
      <c r="C118" s="151">
        <f>IFERROR(__xludf.DUMMYFUNCTION("""COMPUTED_VALUE"""),46175.0)</f>
        <v>46175</v>
      </c>
      <c r="D118" s="143" t="str">
        <f t="shared" si="1"/>
        <v>ok</v>
      </c>
      <c r="E118" s="149" t="str">
        <f t="shared" si="2"/>
        <v>JULLIEN Roger   ok</v>
      </c>
      <c r="F118" s="149" t="b">
        <f>IFERROR(__xludf.DUMMYFUNCTION("""COMPUTED_VALUE"""),TRUE)</f>
        <v>1</v>
      </c>
      <c r="G118" s="149" t="b">
        <f>IFERROR(__xludf.DUMMYFUNCTION("""COMPUTED_VALUE"""),TRUE)</f>
        <v>1</v>
      </c>
      <c r="H118" s="145" t="str">
        <f>IFERROR(__xludf.DUMMYFUNCTION("""COMPUTED_VALUE"""),"PA60  ")</f>
        <v>PA60  </v>
      </c>
      <c r="K118" s="149" t="str">
        <f t="shared" si="3"/>
        <v>JULLIEN Roger   ok   PA60  </v>
      </c>
    </row>
    <row r="119" ht="15.75" customHeight="1">
      <c r="A119" s="151" t="str">
        <f>IFERROR(__xludf.DUMMYFUNCTION("""COMPUTED_VALUE"""),"Karaulic Arthur")</f>
        <v>Karaulic Arthur</v>
      </c>
      <c r="B119" s="142" t="str">
        <f>IFERROR(__xludf.DUMMYFUNCTION("""COMPUTED_VALUE"""),"E3")</f>
        <v>E3</v>
      </c>
      <c r="C119" s="151">
        <f>IFERROR(__xludf.DUMMYFUNCTION("""COMPUTED_VALUE"""),46239.0)</f>
        <v>46239</v>
      </c>
      <c r="D119" s="143" t="str">
        <f t="shared" si="1"/>
        <v>ok</v>
      </c>
      <c r="E119" s="149" t="str">
        <f t="shared" si="2"/>
        <v>Karaulic Arthur   ok</v>
      </c>
      <c r="F119" s="149" t="b">
        <f>IFERROR(__xludf.DUMMYFUNCTION("""COMPUTED_VALUE"""),TRUE)</f>
        <v>1</v>
      </c>
      <c r="G119" s="149" t="b">
        <f>IFERROR(__xludf.DUMMYFUNCTION("""COMPUTED_VALUE"""),TRUE)</f>
        <v>1</v>
      </c>
      <c r="H119" s="145" t="str">
        <f>IFERROR(__xludf.DUMMYFUNCTION("""COMPUTED_VALUE"""),"E3")</f>
        <v>E3</v>
      </c>
      <c r="K119" s="149" t="str">
        <f t="shared" si="3"/>
        <v>Karaulic Arthur   ok   E3</v>
      </c>
    </row>
    <row r="120" ht="15.75" customHeight="1">
      <c r="A120" s="149" t="str">
        <f>IFERROR(__xludf.DUMMYFUNCTION("""COMPUTED_VALUE"""),"KARAULIC SRDJAN")</f>
        <v>KARAULIC SRDJAN</v>
      </c>
      <c r="B120" s="142" t="str">
        <f>IFERROR(__xludf.DUMMYFUNCTION("""COMPUTED_VALUE"""),"E3")</f>
        <v>E3</v>
      </c>
      <c r="C120" s="151">
        <f>IFERROR(__xludf.DUMMYFUNCTION("""COMPUTED_VALUE"""),45980.0)</f>
        <v>45980</v>
      </c>
      <c r="D120" s="143" t="str">
        <f t="shared" si="1"/>
        <v>ok</v>
      </c>
      <c r="E120" s="149" t="str">
        <f t="shared" si="2"/>
        <v>KARAULIC SRDJAN   ok</v>
      </c>
      <c r="F120" s="149" t="b">
        <f>IFERROR(__xludf.DUMMYFUNCTION("""COMPUTED_VALUE"""),TRUE)</f>
        <v>1</v>
      </c>
      <c r="G120" s="149" t="b">
        <f>IFERROR(__xludf.DUMMYFUNCTION("""COMPUTED_VALUE"""),TRUE)</f>
        <v>1</v>
      </c>
      <c r="H120" s="145" t="str">
        <f>IFERROR(__xludf.DUMMYFUNCTION("""COMPUTED_VALUE"""),"E3")</f>
        <v>E3</v>
      </c>
      <c r="K120" s="149" t="str">
        <f t="shared" si="3"/>
        <v>KARAULIC SRDJAN   ok   E3</v>
      </c>
    </row>
    <row r="121" ht="15.75" customHeight="1">
      <c r="A121" s="149" t="str">
        <f>IFERROR(__xludf.DUMMYFUNCTION("""COMPUTED_VALUE"""),"KOWAL Iban")</f>
        <v>KOWAL Iban</v>
      </c>
      <c r="B121" s="142" t="str">
        <f>IFERROR(__xludf.DUMMYFUNCTION("""COMPUTED_VALUE"""),"PE20")</f>
        <v>PE20</v>
      </c>
      <c r="C121" s="151">
        <f>IFERROR(__xludf.DUMMYFUNCTION("""COMPUTED_VALUE"""),46196.0)</f>
        <v>46196</v>
      </c>
      <c r="D121" s="143" t="str">
        <f t="shared" si="1"/>
        <v>ok</v>
      </c>
      <c r="E121" s="149" t="str">
        <f t="shared" si="2"/>
        <v>KOWAL Iban   ok</v>
      </c>
      <c r="F121" s="149" t="b">
        <f>IFERROR(__xludf.DUMMYFUNCTION("""COMPUTED_VALUE"""),FALSE)</f>
        <v>0</v>
      </c>
      <c r="G121" s="149" t="b">
        <f>IFERROR(__xludf.DUMMYFUNCTION("""COMPUTED_VALUE"""),TRUE)</f>
        <v>1</v>
      </c>
      <c r="H121" s="145" t="str">
        <f>IFERROR(__xludf.DUMMYFUNCTION("""COMPUTED_VALUE"""),"PE20")</f>
        <v>PE20</v>
      </c>
      <c r="K121" s="149" t="str">
        <f t="shared" si="3"/>
        <v>KOWAL Iban   ok   PE20</v>
      </c>
    </row>
    <row r="122" ht="15.75" customHeight="1">
      <c r="A122" s="149" t="str">
        <f>IFERROR(__xludf.DUMMYFUNCTION("""COMPUTED_VALUE"""),"LABIDI Liam")</f>
        <v>LABIDI Liam</v>
      </c>
      <c r="B122" s="142" t="str">
        <f>IFERROR(__xludf.DUMMYFUNCTION("""COMPUTED_VALUE"""),"PE20")</f>
        <v>PE20</v>
      </c>
      <c r="C122" s="151">
        <f>IFERROR(__xludf.DUMMYFUNCTION("""COMPUTED_VALUE"""),46147.0)</f>
        <v>46147</v>
      </c>
      <c r="D122" s="143" t="str">
        <f t="shared" si="1"/>
        <v>ok</v>
      </c>
      <c r="E122" s="149" t="str">
        <f t="shared" si="2"/>
        <v>LABIDI Liam   ok</v>
      </c>
      <c r="F122" s="149" t="b">
        <f>IFERROR(__xludf.DUMMYFUNCTION("""COMPUTED_VALUE"""),FALSE)</f>
        <v>0</v>
      </c>
      <c r="G122" s="149" t="b">
        <f>IFERROR(__xludf.DUMMYFUNCTION("""COMPUTED_VALUE"""),TRUE)</f>
        <v>1</v>
      </c>
      <c r="H122" s="145" t="str">
        <f>IFERROR(__xludf.DUMMYFUNCTION("""COMPUTED_VALUE"""),"PE20")</f>
        <v>PE20</v>
      </c>
      <c r="K122" s="149" t="str">
        <f t="shared" si="3"/>
        <v>LABIDI Liam   ok   PE20</v>
      </c>
    </row>
    <row r="123" ht="15.75" customHeight="1">
      <c r="A123" s="149" t="str">
        <f>IFERROR(__xludf.DUMMYFUNCTION("""COMPUTED_VALUE"""),"Labourdette Enza")</f>
        <v>Labourdette Enza</v>
      </c>
      <c r="B123" s="142" t="str">
        <f>IFERROR(__xludf.DUMMYFUNCTION("""COMPUTED_VALUE"""),"PE20")</f>
        <v>PE20</v>
      </c>
      <c r="C123" s="151">
        <f>IFERROR(__xludf.DUMMYFUNCTION("""COMPUTED_VALUE"""),46228.0)</f>
        <v>46228</v>
      </c>
      <c r="D123" s="143" t="str">
        <f t="shared" si="1"/>
        <v>ok</v>
      </c>
      <c r="E123" s="149" t="str">
        <f t="shared" si="2"/>
        <v>Labourdette Enza   ok</v>
      </c>
      <c r="F123" s="149" t="b">
        <f>IFERROR(__xludf.DUMMYFUNCTION("""COMPUTED_VALUE"""),FALSE)</f>
        <v>0</v>
      </c>
      <c r="G123" s="149" t="b">
        <f>IFERROR(__xludf.DUMMYFUNCTION("""COMPUTED_VALUE"""),TRUE)</f>
        <v>1</v>
      </c>
      <c r="H123" s="145" t="str">
        <f>IFERROR(__xludf.DUMMYFUNCTION("""COMPUTED_VALUE"""),"PE20")</f>
        <v>PE20</v>
      </c>
      <c r="K123" s="149" t="str">
        <f t="shared" si="3"/>
        <v>Labourdette Enza   ok   PE20</v>
      </c>
    </row>
    <row r="124" ht="15.75" customHeight="1">
      <c r="A124" s="149" t="str">
        <f>IFERROR(__xludf.DUMMYFUNCTION("""COMPUTED_VALUE"""),"LAFARGUE Peggy")</f>
        <v>LAFARGUE Peggy</v>
      </c>
      <c r="B124" s="142" t="str">
        <f>IFERROR(__xludf.DUMMYFUNCTION("""COMPUTED_VALUE"""),"PE20")</f>
        <v>PE20</v>
      </c>
      <c r="C124" s="151">
        <f>IFERROR(__xludf.DUMMYFUNCTION("""COMPUTED_VALUE"""),46204.0)</f>
        <v>46204</v>
      </c>
      <c r="D124" s="143" t="str">
        <f t="shared" si="1"/>
        <v>ok</v>
      </c>
      <c r="E124" s="149" t="str">
        <f t="shared" si="2"/>
        <v>LAFARGUE Peggy   ok</v>
      </c>
      <c r="F124" s="149" t="b">
        <f>IFERROR(__xludf.DUMMYFUNCTION("""COMPUTED_VALUE"""),FALSE)</f>
        <v>0</v>
      </c>
      <c r="G124" s="149" t="b">
        <f>IFERROR(__xludf.DUMMYFUNCTION("""COMPUTED_VALUE"""),TRUE)</f>
        <v>1</v>
      </c>
      <c r="H124" s="145" t="str">
        <f>IFERROR(__xludf.DUMMYFUNCTION("""COMPUTED_VALUE"""),"PE20")</f>
        <v>PE20</v>
      </c>
      <c r="K124" s="149" t="str">
        <f t="shared" si="3"/>
        <v>LAFARGUE Peggy   ok   PE20</v>
      </c>
    </row>
    <row r="125" ht="15.75" customHeight="1">
      <c r="A125" s="149" t="str">
        <f>IFERROR(__xludf.DUMMYFUNCTION("""COMPUTED_VALUE"""),"LAFFAILLE MATTHIEU")</f>
        <v>LAFFAILLE MATTHIEU</v>
      </c>
      <c r="B125" s="142" t="str">
        <f>IFERROR(__xludf.DUMMYFUNCTION("""COMPUTED_VALUE"""),"E2")</f>
        <v>E2</v>
      </c>
      <c r="C125" s="151">
        <f>IFERROR(__xludf.DUMMYFUNCTION("""COMPUTED_VALUE"""),45932.0)</f>
        <v>45932</v>
      </c>
      <c r="D125" s="143" t="str">
        <f t="shared" si="1"/>
        <v>ok</v>
      </c>
      <c r="E125" s="149" t="str">
        <f t="shared" si="2"/>
        <v>LAFFAILLE MATTHIEU   ok</v>
      </c>
      <c r="F125" s="149" t="b">
        <f>IFERROR(__xludf.DUMMYFUNCTION("""COMPUTED_VALUE"""),TRUE)</f>
        <v>1</v>
      </c>
      <c r="G125" s="149" t="b">
        <f>IFERROR(__xludf.DUMMYFUNCTION("""COMPUTED_VALUE"""),TRUE)</f>
        <v>1</v>
      </c>
      <c r="H125" s="145" t="str">
        <f>IFERROR(__xludf.DUMMYFUNCTION("""COMPUTED_VALUE"""),"E2")</f>
        <v>E2</v>
      </c>
      <c r="K125" s="149" t="str">
        <f t="shared" si="3"/>
        <v>LAFFAILLE MATTHIEU   ok   E2</v>
      </c>
    </row>
    <row r="126" ht="15.75" customHeight="1">
      <c r="A126" s="149" t="str">
        <f>IFERROR(__xludf.DUMMYFUNCTION("""COMPUTED_VALUE"""),"Lalanne	Frederic")</f>
        <v>Lalanne	Frederic</v>
      </c>
      <c r="B126" s="142" t="str">
        <f>IFERROR(__xludf.DUMMYFUNCTION("""COMPUTED_VALUE"""),"PE20")</f>
        <v>PE20</v>
      </c>
      <c r="C126" s="151">
        <f>IFERROR(__xludf.DUMMYFUNCTION("""COMPUTED_VALUE"""),46039.0)</f>
        <v>46039</v>
      </c>
      <c r="D126" s="143" t="str">
        <f t="shared" si="1"/>
        <v>ok</v>
      </c>
      <c r="E126" s="149" t="str">
        <f t="shared" si="2"/>
        <v>Lalanne	Frederic   ok</v>
      </c>
      <c r="F126" s="149" t="b">
        <f>IFERROR(__xludf.DUMMYFUNCTION("""COMPUTED_VALUE"""),FALSE)</f>
        <v>0</v>
      </c>
      <c r="G126" s="149" t="b">
        <f>IFERROR(__xludf.DUMMYFUNCTION("""COMPUTED_VALUE"""),TRUE)</f>
        <v>1</v>
      </c>
      <c r="H126" s="145" t="str">
        <f>IFERROR(__xludf.DUMMYFUNCTION("""COMPUTED_VALUE"""),"PE20")</f>
        <v>PE20</v>
      </c>
      <c r="K126" s="149" t="str">
        <f t="shared" si="3"/>
        <v>Lalanne	Frederic   ok   PE20</v>
      </c>
    </row>
    <row r="127" ht="15.75" customHeight="1">
      <c r="A127" s="149" t="str">
        <f>IFERROR(__xludf.DUMMYFUNCTION("""COMPUTED_VALUE"""),"LAMBERT DELPHINE")</f>
        <v>LAMBERT DELPHINE</v>
      </c>
      <c r="B127" s="142" t="str">
        <f>IFERROR(__xludf.DUMMYFUNCTION("""COMPUTED_VALUE"""),"PA60  ")</f>
        <v>PA60  </v>
      </c>
      <c r="C127" s="151">
        <f>IFERROR(__xludf.DUMMYFUNCTION("""COMPUTED_VALUE"""),46120.0)</f>
        <v>46120</v>
      </c>
      <c r="D127" s="143" t="str">
        <f t="shared" si="1"/>
        <v>ok</v>
      </c>
      <c r="E127" s="149" t="str">
        <f t="shared" si="2"/>
        <v>LAMBERT DELPHINE   ok</v>
      </c>
      <c r="F127" s="149" t="b">
        <f>IFERROR(__xludf.DUMMYFUNCTION("""COMPUTED_VALUE"""),TRUE)</f>
        <v>1</v>
      </c>
      <c r="G127" s="149" t="b">
        <f>IFERROR(__xludf.DUMMYFUNCTION("""COMPUTED_VALUE"""),TRUE)</f>
        <v>1</v>
      </c>
      <c r="H127" s="145" t="str">
        <f>IFERROR(__xludf.DUMMYFUNCTION("""COMPUTED_VALUE"""),"PA60  ")</f>
        <v>PA60  </v>
      </c>
      <c r="K127" s="149" t="str">
        <f t="shared" si="3"/>
        <v>LAMBERT DELPHINE   ok   PA60  </v>
      </c>
    </row>
    <row r="128" ht="15.75" customHeight="1">
      <c r="A128" s="149" t="str">
        <f>IFERROR(__xludf.DUMMYFUNCTION("""COMPUTED_VALUE"""),"LAMONERIE Catherine")</f>
        <v>LAMONERIE Catherine</v>
      </c>
      <c r="B128" s="142" t="str">
        <f>IFERROR(__xludf.DUMMYFUNCTION("""COMPUTED_VALUE"""),"PA60  ")</f>
        <v>PA60  </v>
      </c>
      <c r="C128" s="151">
        <f>IFERROR(__xludf.DUMMYFUNCTION("""COMPUTED_VALUE"""),46164.0)</f>
        <v>46164</v>
      </c>
      <c r="D128" s="143" t="str">
        <f t="shared" si="1"/>
        <v>ok</v>
      </c>
      <c r="E128" s="149" t="str">
        <f t="shared" si="2"/>
        <v>LAMONERIE Catherine   ok</v>
      </c>
      <c r="F128" s="149" t="b">
        <f>IFERROR(__xludf.DUMMYFUNCTION("""COMPUTED_VALUE"""),TRUE)</f>
        <v>1</v>
      </c>
      <c r="G128" s="149" t="b">
        <f>IFERROR(__xludf.DUMMYFUNCTION("""COMPUTED_VALUE"""),TRUE)</f>
        <v>1</v>
      </c>
      <c r="H128" s="145" t="str">
        <f>IFERROR(__xludf.DUMMYFUNCTION("""COMPUTED_VALUE"""),"PA60  ")</f>
        <v>PA60  </v>
      </c>
      <c r="K128" s="149" t="str">
        <f t="shared" si="3"/>
        <v>LAMONERIE Catherine   ok   PA60  </v>
      </c>
    </row>
    <row r="129" ht="15.75" customHeight="1">
      <c r="A129" s="149" t="str">
        <f>IFERROR(__xludf.DUMMYFUNCTION("""COMPUTED_VALUE"""),"Lamonerie Hélène")</f>
        <v>Lamonerie Hélène</v>
      </c>
      <c r="B129" s="142" t="str">
        <f>IFERROR(__xludf.DUMMYFUNCTION("""COMPUTED_VALUE"""),"PE20")</f>
        <v>PE20</v>
      </c>
      <c r="C129" s="151">
        <f>IFERROR(__xludf.DUMMYFUNCTION("""COMPUTED_VALUE"""),46001.0)</f>
        <v>46001</v>
      </c>
      <c r="D129" s="143" t="str">
        <f t="shared" si="1"/>
        <v>ok</v>
      </c>
      <c r="E129" s="149" t="str">
        <f t="shared" si="2"/>
        <v>Lamonerie Hélène   ok</v>
      </c>
      <c r="F129" s="149" t="b">
        <f>IFERROR(__xludf.DUMMYFUNCTION("""COMPUTED_VALUE"""),FALSE)</f>
        <v>0</v>
      </c>
      <c r="G129" s="149" t="b">
        <f>IFERROR(__xludf.DUMMYFUNCTION("""COMPUTED_VALUE"""),TRUE)</f>
        <v>1</v>
      </c>
      <c r="H129" s="145" t="str">
        <f>IFERROR(__xludf.DUMMYFUNCTION("""COMPUTED_VALUE"""),"PE20")</f>
        <v>PE20</v>
      </c>
      <c r="K129" s="149" t="str">
        <f t="shared" si="3"/>
        <v>Lamonerie Hélène   ok   PE20</v>
      </c>
    </row>
    <row r="130" ht="15.75" customHeight="1">
      <c r="A130" s="149" t="str">
        <f>IFERROR(__xludf.DUMMYFUNCTION("""COMPUTED_VALUE"""),"LAMONERIE THOMAS")</f>
        <v>LAMONERIE THOMAS</v>
      </c>
      <c r="B130" s="142" t="str">
        <f>IFERROR(__xludf.DUMMYFUNCTION("""COMPUTED_VALUE"""),"E3")</f>
        <v>E3</v>
      </c>
      <c r="C130" s="151">
        <f>IFERROR(__xludf.DUMMYFUNCTION("""COMPUTED_VALUE"""),46164.0)</f>
        <v>46164</v>
      </c>
      <c r="D130" s="143" t="str">
        <f t="shared" si="1"/>
        <v>ok</v>
      </c>
      <c r="E130" s="149" t="str">
        <f t="shared" si="2"/>
        <v>LAMONERIE THOMAS   ok</v>
      </c>
      <c r="F130" s="149" t="b">
        <f>IFERROR(__xludf.DUMMYFUNCTION("""COMPUTED_VALUE"""),TRUE)</f>
        <v>1</v>
      </c>
      <c r="G130" s="149" t="b">
        <f>IFERROR(__xludf.DUMMYFUNCTION("""COMPUTED_VALUE"""),TRUE)</f>
        <v>1</v>
      </c>
      <c r="H130" s="145" t="str">
        <f>IFERROR(__xludf.DUMMYFUNCTION("""COMPUTED_VALUE"""),"E3")</f>
        <v>E3</v>
      </c>
      <c r="K130" s="149" t="str">
        <f t="shared" si="3"/>
        <v>LAMONERIE THOMAS   ok   E3</v>
      </c>
    </row>
    <row r="131" ht="15.75" customHeight="1">
      <c r="A131" s="149" t="str">
        <f>IFERROR(__xludf.DUMMYFUNCTION("""COMPUTED_VALUE"""),"LANOIRE SEBASTIEN")</f>
        <v>LANOIRE SEBASTIEN</v>
      </c>
      <c r="B131" s="142" t="str">
        <f>IFERROR(__xludf.DUMMYFUNCTION("""COMPUTED_VALUE"""),"PE40 PA20")</f>
        <v>PE40 PA20</v>
      </c>
      <c r="C131" s="151">
        <f>IFERROR(__xludf.DUMMYFUNCTION("""COMPUTED_VALUE"""),46116.0)</f>
        <v>46116</v>
      </c>
      <c r="D131" s="143" t="str">
        <f t="shared" si="1"/>
        <v>ok</v>
      </c>
      <c r="E131" s="149" t="str">
        <f t="shared" si="2"/>
        <v>LANOIRE SEBASTIEN   ok</v>
      </c>
      <c r="F131" s="149" t="b">
        <f>IFERROR(__xludf.DUMMYFUNCTION("""COMPUTED_VALUE"""),TRUE)</f>
        <v>1</v>
      </c>
      <c r="G131" s="149" t="b">
        <f>IFERROR(__xludf.DUMMYFUNCTION("""COMPUTED_VALUE"""),TRUE)</f>
        <v>1</v>
      </c>
      <c r="H131" s="145" t="str">
        <f>IFERROR(__xludf.DUMMYFUNCTION("""COMPUTED_VALUE"""),"PE40 PA20")</f>
        <v>PE40 PA20</v>
      </c>
      <c r="K131" s="149" t="str">
        <f t="shared" si="3"/>
        <v>LANOIRE SEBASTIEN   ok   PE40 PA20</v>
      </c>
    </row>
    <row r="132" ht="15.75" customHeight="1">
      <c r="A132" s="149" t="str">
        <f>IFERROR(__xludf.DUMMYFUNCTION("""COMPUTED_VALUE"""),"LAPLAGNE SOPHIE")</f>
        <v>LAPLAGNE SOPHIE</v>
      </c>
      <c r="B132" s="142" t="str">
        <f>IFERROR(__xludf.DUMMYFUNCTION("""COMPUTED_VALUE"""),"PE40 PA20")</f>
        <v>PE40 PA20</v>
      </c>
      <c r="C132" s="151">
        <f>IFERROR(__xludf.DUMMYFUNCTION("""COMPUTED_VALUE"""),46219.0)</f>
        <v>46219</v>
      </c>
      <c r="D132" s="143" t="str">
        <f t="shared" si="1"/>
        <v>ok</v>
      </c>
      <c r="E132" s="149" t="str">
        <f t="shared" si="2"/>
        <v>LAPLAGNE SOPHIE   ok</v>
      </c>
      <c r="F132" s="149" t="b">
        <f>IFERROR(__xludf.DUMMYFUNCTION("""COMPUTED_VALUE"""),TRUE)</f>
        <v>1</v>
      </c>
      <c r="G132" s="149" t="b">
        <f>IFERROR(__xludf.DUMMYFUNCTION("""COMPUTED_VALUE"""),TRUE)</f>
        <v>1</v>
      </c>
      <c r="H132" s="145" t="str">
        <f>IFERROR(__xludf.DUMMYFUNCTION("""COMPUTED_VALUE"""),"PE40 PA20")</f>
        <v>PE40 PA20</v>
      </c>
      <c r="K132" s="149" t="str">
        <f t="shared" si="3"/>
        <v>LAPLAGNE SOPHIE   ok   PE40 PA20</v>
      </c>
    </row>
    <row r="133" ht="15.75" customHeight="1">
      <c r="A133" s="149" t="str">
        <f>IFERROR(__xludf.DUMMYFUNCTION("""COMPUTED_VALUE"""),"LASCOURS Audrey")</f>
        <v>LASCOURS Audrey</v>
      </c>
      <c r="B133" s="142" t="str">
        <f>IFERROR(__xludf.DUMMYFUNCTION("""COMPUTED_VALUE"""),"PE20")</f>
        <v>PE20</v>
      </c>
      <c r="C133" s="151">
        <f>IFERROR(__xludf.DUMMYFUNCTION("""COMPUTED_VALUE"""),46211.0)</f>
        <v>46211</v>
      </c>
      <c r="D133" s="143" t="str">
        <f t="shared" si="1"/>
        <v>ok</v>
      </c>
      <c r="E133" s="149" t="str">
        <f t="shared" si="2"/>
        <v>LASCOURS Audrey   ok</v>
      </c>
      <c r="F133" s="149" t="b">
        <f>IFERROR(__xludf.DUMMYFUNCTION("""COMPUTED_VALUE"""),FALSE)</f>
        <v>0</v>
      </c>
      <c r="G133" s="149" t="b">
        <f>IFERROR(__xludf.DUMMYFUNCTION("""COMPUTED_VALUE"""),TRUE)</f>
        <v>1</v>
      </c>
      <c r="H133" s="145" t="str">
        <f>IFERROR(__xludf.DUMMYFUNCTION("""COMPUTED_VALUE"""),"PE20")</f>
        <v>PE20</v>
      </c>
      <c r="K133" s="149" t="str">
        <f t="shared" si="3"/>
        <v>LASCOURS Audrey   ok   PE20</v>
      </c>
    </row>
    <row r="134" ht="15.75" customHeight="1">
      <c r="A134" s="149" t="str">
        <f>IFERROR(__xludf.DUMMYFUNCTION("""COMPUTED_VALUE"""),"LE GALL Yvan")</f>
        <v>LE GALL Yvan</v>
      </c>
      <c r="B134" s="142" t="str">
        <f>IFERROR(__xludf.DUMMYFUNCTION("""COMPUTED_VALUE"""),"PE20")</f>
        <v>PE20</v>
      </c>
      <c r="C134" s="151">
        <f>IFERROR(__xludf.DUMMYFUNCTION("""COMPUTED_VALUE"""),46205.0)</f>
        <v>46205</v>
      </c>
      <c r="D134" s="143" t="str">
        <f t="shared" si="1"/>
        <v>ok</v>
      </c>
      <c r="E134" s="149" t="str">
        <f t="shared" si="2"/>
        <v>LE GALL Yvan   ok</v>
      </c>
      <c r="F134" s="149" t="b">
        <f>IFERROR(__xludf.DUMMYFUNCTION("""COMPUTED_VALUE"""),FALSE)</f>
        <v>0</v>
      </c>
      <c r="G134" s="149" t="b">
        <f>IFERROR(__xludf.DUMMYFUNCTION("""COMPUTED_VALUE"""),TRUE)</f>
        <v>1</v>
      </c>
      <c r="H134" s="145" t="str">
        <f>IFERROR(__xludf.DUMMYFUNCTION("""COMPUTED_VALUE"""),"PE20")</f>
        <v>PE20</v>
      </c>
      <c r="K134" s="149" t="str">
        <f t="shared" si="3"/>
        <v>LE GALL Yvan   ok   PE20</v>
      </c>
    </row>
    <row r="135" ht="15.75" customHeight="1">
      <c r="A135" s="149" t="str">
        <f>IFERROR(__xludf.DUMMYFUNCTION("""COMPUTED_VALUE"""),"LE MENTEC Ruben")</f>
        <v>LE MENTEC Ruben</v>
      </c>
      <c r="B135" s="142" t="str">
        <f>IFERROR(__xludf.DUMMYFUNCTION("""COMPUTED_VALUE"""),"PE20")</f>
        <v>PE20</v>
      </c>
      <c r="C135" s="151">
        <f>IFERROR(__xludf.DUMMYFUNCTION("""COMPUTED_VALUE"""),46128.0)</f>
        <v>46128</v>
      </c>
      <c r="D135" s="143" t="str">
        <f t="shared" si="1"/>
        <v>ok</v>
      </c>
      <c r="E135" s="149" t="str">
        <f t="shared" si="2"/>
        <v>LE MENTEC Ruben   ok</v>
      </c>
      <c r="F135" s="149" t="b">
        <f>IFERROR(__xludf.DUMMYFUNCTION("""COMPUTED_VALUE"""),FALSE)</f>
        <v>0</v>
      </c>
      <c r="G135" s="149" t="b">
        <f>IFERROR(__xludf.DUMMYFUNCTION("""COMPUTED_VALUE"""),TRUE)</f>
        <v>1</v>
      </c>
      <c r="H135" s="145" t="str">
        <f>IFERROR(__xludf.DUMMYFUNCTION("""COMPUTED_VALUE"""),"PE20")</f>
        <v>PE20</v>
      </c>
      <c r="K135" s="149" t="str">
        <f t="shared" si="3"/>
        <v>LE MENTEC Ruben   ok   PE20</v>
      </c>
    </row>
    <row r="136" ht="15.75" customHeight="1">
      <c r="A136" s="149" t="str">
        <f>IFERROR(__xludf.DUMMYFUNCTION("""COMPUTED_VALUE"""),"LE MORVAN TESS")</f>
        <v>LE MORVAN TESS</v>
      </c>
      <c r="B136" s="142" t="str">
        <f>IFERROR(__xludf.DUMMYFUNCTION("""COMPUTED_VALUE"""),"PE40")</f>
        <v>PE40</v>
      </c>
      <c r="C136" s="151">
        <f>IFERROR(__xludf.DUMMYFUNCTION("""COMPUTED_VALUE"""),46209.0)</f>
        <v>46209</v>
      </c>
      <c r="D136" s="143" t="str">
        <f t="shared" si="1"/>
        <v>ok</v>
      </c>
      <c r="E136" s="149" t="str">
        <f t="shared" si="2"/>
        <v>LE MORVAN TESS   ok</v>
      </c>
      <c r="F136" s="149" t="b">
        <f>IFERROR(__xludf.DUMMYFUNCTION("""COMPUTED_VALUE"""),TRUE)</f>
        <v>1</v>
      </c>
      <c r="G136" s="149" t="b">
        <f>IFERROR(__xludf.DUMMYFUNCTION("""COMPUTED_VALUE"""),TRUE)</f>
        <v>1</v>
      </c>
      <c r="H136" s="145" t="str">
        <f>IFERROR(__xludf.DUMMYFUNCTION("""COMPUTED_VALUE"""),"PE40")</f>
        <v>PE40</v>
      </c>
      <c r="K136" s="149" t="str">
        <f t="shared" si="3"/>
        <v>LE MORVAN TESS   ok   PE40</v>
      </c>
    </row>
    <row r="137" ht="15.75" customHeight="1">
      <c r="A137" s="149" t="str">
        <f>IFERROR(__xludf.DUMMYFUNCTION("""COMPUTED_VALUE"""),"Lecot	Freddy")</f>
        <v>Lecot	Freddy</v>
      </c>
      <c r="B137" s="142" t="str">
        <f>IFERROR(__xludf.DUMMYFUNCTION("""COMPUTED_VALUE"""),"PE20")</f>
        <v>PE20</v>
      </c>
      <c r="C137" s="151">
        <f>IFERROR(__xludf.DUMMYFUNCTION("""COMPUTED_VALUE"""),46057.0)</f>
        <v>46057</v>
      </c>
      <c r="D137" s="143" t="str">
        <f t="shared" si="1"/>
        <v>ok</v>
      </c>
      <c r="E137" s="149" t="str">
        <f t="shared" si="2"/>
        <v>Lecot	Freddy   ok</v>
      </c>
      <c r="F137" s="149" t="b">
        <f>IFERROR(__xludf.DUMMYFUNCTION("""COMPUTED_VALUE"""),FALSE)</f>
        <v>0</v>
      </c>
      <c r="G137" s="149" t="b">
        <f>IFERROR(__xludf.DUMMYFUNCTION("""COMPUTED_VALUE"""),TRUE)</f>
        <v>1</v>
      </c>
      <c r="H137" s="145" t="str">
        <f>IFERROR(__xludf.DUMMYFUNCTION("""COMPUTED_VALUE"""),"PE20")</f>
        <v>PE20</v>
      </c>
      <c r="K137" s="149" t="str">
        <f t="shared" si="3"/>
        <v>Lecot	Freddy   ok   PE20</v>
      </c>
    </row>
    <row r="138" ht="15.75" customHeight="1">
      <c r="A138" s="149" t="str">
        <f>IFERROR(__xludf.DUMMYFUNCTION("""COMPUTED_VALUE"""),"Leleyter	Juliette")</f>
        <v>Leleyter	Juliette</v>
      </c>
      <c r="B138" s="142" t="str">
        <f>IFERROR(__xludf.DUMMYFUNCTION("""COMPUTED_VALUE"""),"PE20")</f>
        <v>PE20</v>
      </c>
      <c r="C138" s="151">
        <f>IFERROR(__xludf.DUMMYFUNCTION("""COMPUTED_VALUE"""),46057.0)</f>
        <v>46057</v>
      </c>
      <c r="D138" s="143" t="str">
        <f t="shared" si="1"/>
        <v>ok</v>
      </c>
      <c r="E138" s="149" t="str">
        <f t="shared" si="2"/>
        <v>Leleyter	Juliette   ok</v>
      </c>
      <c r="F138" s="149" t="b">
        <f>IFERROR(__xludf.DUMMYFUNCTION("""COMPUTED_VALUE"""),FALSE)</f>
        <v>0</v>
      </c>
      <c r="G138" s="149" t="b">
        <f>IFERROR(__xludf.DUMMYFUNCTION("""COMPUTED_VALUE"""),TRUE)</f>
        <v>1</v>
      </c>
      <c r="H138" s="145" t="str">
        <f>IFERROR(__xludf.DUMMYFUNCTION("""COMPUTED_VALUE"""),"PE20")</f>
        <v>PE20</v>
      </c>
      <c r="K138" s="149" t="str">
        <f t="shared" si="3"/>
        <v>Leleyter	Juliette   ok   PE20</v>
      </c>
    </row>
    <row r="139" ht="15.75" customHeight="1">
      <c r="A139" s="149" t="str">
        <f>IFERROR(__xludf.DUMMYFUNCTION("""COMPUTED_VALUE"""),"LEPETIT MARC")</f>
        <v>LEPETIT MARC</v>
      </c>
      <c r="B139" s="142" t="str">
        <f>IFERROR(__xludf.DUMMYFUNCTION("""COMPUTED_VALUE"""),"E2")</f>
        <v>E2</v>
      </c>
      <c r="C139" s="151">
        <f>IFERROR(__xludf.DUMMYFUNCTION("""COMPUTED_VALUE"""),46193.0)</f>
        <v>46193</v>
      </c>
      <c r="D139" s="143" t="str">
        <f t="shared" si="1"/>
        <v>ok</v>
      </c>
      <c r="E139" s="149" t="str">
        <f t="shared" si="2"/>
        <v>LEPETIT MARC   ok</v>
      </c>
      <c r="F139" s="149" t="b">
        <f>IFERROR(__xludf.DUMMYFUNCTION("""COMPUTED_VALUE"""),TRUE)</f>
        <v>1</v>
      </c>
      <c r="G139" s="149" t="b">
        <f>IFERROR(__xludf.DUMMYFUNCTION("""COMPUTED_VALUE"""),TRUE)</f>
        <v>1</v>
      </c>
      <c r="H139" s="145" t="str">
        <f>IFERROR(__xludf.DUMMYFUNCTION("""COMPUTED_VALUE"""),"E2")</f>
        <v>E2</v>
      </c>
      <c r="K139" s="149" t="str">
        <f t="shared" si="3"/>
        <v>LEPETIT MARC   ok   E2</v>
      </c>
    </row>
    <row r="140" ht="15.75" customHeight="1">
      <c r="A140" s="149" t="str">
        <f>IFERROR(__xludf.DUMMYFUNCTION("""COMPUTED_VALUE"""),"LETOURNEUR LOIC")</f>
        <v>LETOURNEUR LOIC</v>
      </c>
      <c r="B140" s="142" t="str">
        <f>IFERROR(__xludf.DUMMYFUNCTION("""COMPUTED_VALUE"""),"PE40 PA20")</f>
        <v>PE40 PA20</v>
      </c>
      <c r="C140" s="151">
        <f>IFERROR(__xludf.DUMMYFUNCTION("""COMPUTED_VALUE"""),46182.0)</f>
        <v>46182</v>
      </c>
      <c r="D140" s="143" t="str">
        <f t="shared" si="1"/>
        <v>ok</v>
      </c>
      <c r="E140" s="149" t="str">
        <f t="shared" si="2"/>
        <v>LETOURNEUR LOIC   ok</v>
      </c>
      <c r="F140" s="149" t="b">
        <f>IFERROR(__xludf.DUMMYFUNCTION("""COMPUTED_VALUE"""),TRUE)</f>
        <v>1</v>
      </c>
      <c r="G140" s="149" t="b">
        <f>IFERROR(__xludf.DUMMYFUNCTION("""COMPUTED_VALUE"""),TRUE)</f>
        <v>1</v>
      </c>
      <c r="H140" s="145" t="str">
        <f>IFERROR(__xludf.DUMMYFUNCTION("""COMPUTED_VALUE"""),"PE40 PA20")</f>
        <v>PE40 PA20</v>
      </c>
      <c r="K140" s="149" t="str">
        <f t="shared" si="3"/>
        <v>LETOURNEUR LOIC   ok   PE40 PA20</v>
      </c>
    </row>
    <row r="141" ht="15.75" customHeight="1">
      <c r="A141" s="149" t="str">
        <f>IFERROR(__xludf.DUMMYFUNCTION("""COMPUTED_VALUE"""),"LEVAMIS Valérian")</f>
        <v>LEVAMIS Valérian</v>
      </c>
      <c r="B141" s="142" t="str">
        <f>IFERROR(__xludf.DUMMYFUNCTION("""COMPUTED_VALUE"""),"PE20")</f>
        <v>PE20</v>
      </c>
      <c r="C141" s="151">
        <f>IFERROR(__xludf.DUMMYFUNCTION("""COMPUTED_VALUE"""),46212.0)</f>
        <v>46212</v>
      </c>
      <c r="D141" s="143" t="str">
        <f t="shared" si="1"/>
        <v>ok</v>
      </c>
      <c r="E141" s="149" t="str">
        <f t="shared" si="2"/>
        <v>LEVAMIS Valérian   ok</v>
      </c>
      <c r="F141" s="149" t="b">
        <f>IFERROR(__xludf.DUMMYFUNCTION("""COMPUTED_VALUE"""),FALSE)</f>
        <v>0</v>
      </c>
      <c r="G141" s="149" t="b">
        <f>IFERROR(__xludf.DUMMYFUNCTION("""COMPUTED_VALUE"""),TRUE)</f>
        <v>1</v>
      </c>
      <c r="H141" s="145" t="str">
        <f>IFERROR(__xludf.DUMMYFUNCTION("""COMPUTED_VALUE"""),"PE20")</f>
        <v>PE20</v>
      </c>
      <c r="K141" s="149" t="str">
        <f t="shared" si="3"/>
        <v>LEVAMIS Valérian   ok   PE20</v>
      </c>
    </row>
    <row r="142" ht="15.75" customHeight="1">
      <c r="A142" s="149" t="str">
        <f>IFERROR(__xludf.DUMMYFUNCTION("""COMPUTED_VALUE"""),"LEVASSEUR REMY")</f>
        <v>LEVASSEUR REMY</v>
      </c>
      <c r="B142" s="142" t="str">
        <f>IFERROR(__xludf.DUMMYFUNCTION("""COMPUTED_VALUE"""),"E3")</f>
        <v>E3</v>
      </c>
      <c r="C142" s="151">
        <f>IFERROR(__xludf.DUMMYFUNCTION("""COMPUTED_VALUE"""),45902.0)</f>
        <v>45902</v>
      </c>
      <c r="D142" s="143" t="str">
        <f t="shared" si="1"/>
        <v>ko</v>
      </c>
      <c r="E142" s="149" t="str">
        <f t="shared" si="2"/>
        <v>LEVASSEUR REMY   ko</v>
      </c>
      <c r="F142" s="149" t="b">
        <f>IFERROR(__xludf.DUMMYFUNCTION("""COMPUTED_VALUE"""),TRUE)</f>
        <v>1</v>
      </c>
      <c r="G142" s="149" t="b">
        <f>IFERROR(__xludf.DUMMYFUNCTION("""COMPUTED_VALUE"""),TRUE)</f>
        <v>1</v>
      </c>
      <c r="H142" s="145" t="str">
        <f>IFERROR(__xludf.DUMMYFUNCTION("""COMPUTED_VALUE"""),"E3")</f>
        <v>E3</v>
      </c>
      <c r="K142" s="149" t="str">
        <f t="shared" si="3"/>
        <v>LEVASSEUR REMY   ko   E3</v>
      </c>
    </row>
    <row r="143" ht="15.75" customHeight="1">
      <c r="A143" s="149" t="str">
        <f>IFERROR(__xludf.DUMMYFUNCTION("""COMPUTED_VALUE"""),"LIMOUSE AUDE")</f>
        <v>LIMOUSE AUDE</v>
      </c>
      <c r="B143" s="142" t="str">
        <f>IFERROR(__xludf.DUMMYFUNCTION("""COMPUTED_VALUE"""),"PE20")</f>
        <v>PE20</v>
      </c>
      <c r="C143" s="151">
        <f>IFERROR(__xludf.DUMMYFUNCTION("""COMPUTED_VALUE"""),46158.0)</f>
        <v>46158</v>
      </c>
      <c r="D143" s="143" t="str">
        <f t="shared" si="1"/>
        <v>ok</v>
      </c>
      <c r="E143" s="149" t="str">
        <f t="shared" si="2"/>
        <v>LIMOUSE AUDE   ok</v>
      </c>
      <c r="F143" s="149" t="b">
        <f>IFERROR(__xludf.DUMMYFUNCTION("""COMPUTED_VALUE"""),TRUE)</f>
        <v>1</v>
      </c>
      <c r="G143" s="149" t="b">
        <f>IFERROR(__xludf.DUMMYFUNCTION("""COMPUTED_VALUE"""),TRUE)</f>
        <v>1</v>
      </c>
      <c r="H143" s="145" t="str">
        <f>IFERROR(__xludf.DUMMYFUNCTION("""COMPUTED_VALUE"""),"PE20")</f>
        <v>PE20</v>
      </c>
      <c r="K143" s="149" t="str">
        <f t="shared" si="3"/>
        <v>LIMOUSE AUDE   ok   PE20</v>
      </c>
    </row>
    <row r="144" ht="15.75" customHeight="1">
      <c r="A144" s="149" t="str">
        <f>IFERROR(__xludf.DUMMYFUNCTION("""COMPUTED_VALUE"""),"LOCATELLI ALEXANDE")</f>
        <v>LOCATELLI ALEXANDE</v>
      </c>
      <c r="B144" s="142" t="str">
        <f>IFERROR(__xludf.DUMMYFUNCTION("""COMPUTED_VALUE"""),"PA60  ")</f>
        <v>PA60  </v>
      </c>
      <c r="C144" s="151">
        <f>IFERROR(__xludf.DUMMYFUNCTION("""COMPUTED_VALUE"""),46165.0)</f>
        <v>46165</v>
      </c>
      <c r="D144" s="143" t="str">
        <f t="shared" si="1"/>
        <v>ok</v>
      </c>
      <c r="E144" s="149" t="str">
        <f t="shared" si="2"/>
        <v>LOCATELLI ALEXANDE   ok</v>
      </c>
      <c r="F144" s="149" t="b">
        <f>IFERROR(__xludf.DUMMYFUNCTION("""COMPUTED_VALUE"""),TRUE)</f>
        <v>1</v>
      </c>
      <c r="G144" s="149" t="b">
        <f>IFERROR(__xludf.DUMMYFUNCTION("""COMPUTED_VALUE"""),TRUE)</f>
        <v>1</v>
      </c>
      <c r="H144" s="145" t="str">
        <f>IFERROR(__xludf.DUMMYFUNCTION("""COMPUTED_VALUE"""),"PA60  ")</f>
        <v>PA60  </v>
      </c>
      <c r="K144" s="149" t="str">
        <f t="shared" si="3"/>
        <v>LOCATELLI ALEXANDE   ok   PA60  </v>
      </c>
    </row>
    <row r="145" ht="15.75" customHeight="1">
      <c r="A145" s="149" t="str">
        <f>IFERROR(__xludf.DUMMYFUNCTION("""COMPUTED_VALUE"""),"LOPEZ Julien")</f>
        <v>LOPEZ Julien</v>
      </c>
      <c r="B145" s="142" t="str">
        <f>IFERROR(__xludf.DUMMYFUNCTION("""COMPUTED_VALUE"""),"PE40 PA20")</f>
        <v>PE40 PA20</v>
      </c>
      <c r="C145" s="151">
        <f>IFERROR(__xludf.DUMMYFUNCTION("""COMPUTED_VALUE"""),46002.0)</f>
        <v>46002</v>
      </c>
      <c r="D145" s="143" t="str">
        <f t="shared" si="1"/>
        <v>ok</v>
      </c>
      <c r="E145" s="149" t="str">
        <f t="shared" si="2"/>
        <v>LOPEZ Julien   ok</v>
      </c>
      <c r="F145" s="149" t="b">
        <f>IFERROR(__xludf.DUMMYFUNCTION("""COMPUTED_VALUE"""),FALSE)</f>
        <v>0</v>
      </c>
      <c r="G145" s="149" t="b">
        <f>IFERROR(__xludf.DUMMYFUNCTION("""COMPUTED_VALUE"""),TRUE)</f>
        <v>1</v>
      </c>
      <c r="H145" s="145" t="str">
        <f>IFERROR(__xludf.DUMMYFUNCTION("""COMPUTED_VALUE"""),"PE40 PA20")</f>
        <v>PE40 PA20</v>
      </c>
      <c r="K145" s="149" t="str">
        <f t="shared" si="3"/>
        <v>LOPEZ Julien   ok   PE40 PA20</v>
      </c>
    </row>
    <row r="146" ht="15.75" customHeight="1">
      <c r="A146" s="149" t="str">
        <f>IFERROR(__xludf.DUMMYFUNCTION("""COMPUTED_VALUE"""),"loyseau chantal")</f>
        <v>loyseau chantal</v>
      </c>
      <c r="B146" s="142" t="str">
        <f>IFERROR(__xludf.DUMMYFUNCTION("""COMPUTED_VALUE"""),"T1")</f>
        <v>T1</v>
      </c>
      <c r="C146" s="151">
        <f>IFERROR(__xludf.DUMMYFUNCTION("""COMPUTED_VALUE"""),46057.0)</f>
        <v>46057</v>
      </c>
      <c r="D146" s="143" t="str">
        <f t="shared" si="1"/>
        <v>ok</v>
      </c>
      <c r="E146" s="149" t="str">
        <f t="shared" si="2"/>
        <v>loyseau chantal   ok</v>
      </c>
      <c r="F146" s="149" t="b">
        <f>IFERROR(__xludf.DUMMYFUNCTION("""COMPUTED_VALUE"""),FALSE)</f>
        <v>0</v>
      </c>
      <c r="G146" s="149" t="b">
        <f>IFERROR(__xludf.DUMMYFUNCTION("""COMPUTED_VALUE"""),TRUE)</f>
        <v>1</v>
      </c>
      <c r="H146" s="145" t="str">
        <f>IFERROR(__xludf.DUMMYFUNCTION("""COMPUTED_VALUE"""),"T1")</f>
        <v>T1</v>
      </c>
      <c r="K146" s="149" t="str">
        <f t="shared" si="3"/>
        <v>loyseau chantal   ok   T1</v>
      </c>
    </row>
    <row r="147" ht="15.75" customHeight="1">
      <c r="A147" s="149" t="str">
        <f>IFERROR(__xludf.DUMMYFUNCTION("""COMPUTED_VALUE"""),"loyseau PHILIPPE")</f>
        <v>loyseau PHILIPPE</v>
      </c>
      <c r="B147" s="142" t="str">
        <f>IFERROR(__xludf.DUMMYFUNCTION("""COMPUTED_VALUE"""),"PE40")</f>
        <v>PE40</v>
      </c>
      <c r="C147" s="151">
        <f>IFERROR(__xludf.DUMMYFUNCTION("""COMPUTED_VALUE"""),46057.0)</f>
        <v>46057</v>
      </c>
      <c r="D147" s="143" t="str">
        <f t="shared" si="1"/>
        <v>ok</v>
      </c>
      <c r="E147" s="149" t="str">
        <f t="shared" si="2"/>
        <v>loyseau PHILIPPE   ok</v>
      </c>
      <c r="F147" s="149" t="b">
        <f>IFERROR(__xludf.DUMMYFUNCTION("""COMPUTED_VALUE"""),FALSE)</f>
        <v>0</v>
      </c>
      <c r="G147" s="149" t="b">
        <f>IFERROR(__xludf.DUMMYFUNCTION("""COMPUTED_VALUE"""),TRUE)</f>
        <v>1</v>
      </c>
      <c r="H147" s="145" t="str">
        <f>IFERROR(__xludf.DUMMYFUNCTION("""COMPUTED_VALUE"""),"PE40")</f>
        <v>PE40</v>
      </c>
      <c r="K147" s="149" t="str">
        <f t="shared" si="3"/>
        <v>loyseau PHILIPPE   ok   PE40</v>
      </c>
    </row>
    <row r="148" ht="15.75" customHeight="1">
      <c r="A148" s="149" t="str">
        <f>IFERROR(__xludf.DUMMYFUNCTION("""COMPUTED_VALUE"""),"MAGNAS Corinne")</f>
        <v>MAGNAS Corinne</v>
      </c>
      <c r="B148" s="142" t="str">
        <f>IFERROR(__xludf.DUMMYFUNCTION("""COMPUTED_VALUE"""),"PE20")</f>
        <v>PE20</v>
      </c>
      <c r="C148" s="151">
        <f>IFERROR(__xludf.DUMMYFUNCTION("""COMPUTED_VALUE"""),46248.0)</f>
        <v>46248</v>
      </c>
      <c r="D148" s="143" t="str">
        <f t="shared" si="1"/>
        <v>ok</v>
      </c>
      <c r="E148" s="149" t="str">
        <f t="shared" si="2"/>
        <v>MAGNAS Corinne   ok</v>
      </c>
      <c r="F148" s="149" t="b">
        <f>IFERROR(__xludf.DUMMYFUNCTION("""COMPUTED_VALUE"""),FALSE)</f>
        <v>0</v>
      </c>
      <c r="G148" s="149" t="b">
        <f>IFERROR(__xludf.DUMMYFUNCTION("""COMPUTED_VALUE"""),TRUE)</f>
        <v>1</v>
      </c>
      <c r="H148" s="145" t="str">
        <f>IFERROR(__xludf.DUMMYFUNCTION("""COMPUTED_VALUE"""),"PE20")</f>
        <v>PE20</v>
      </c>
      <c r="K148" s="149" t="str">
        <f t="shared" si="3"/>
        <v>MAGNAS Corinne   ok   PE20</v>
      </c>
    </row>
    <row r="149" ht="15.75" customHeight="1">
      <c r="A149" s="149" t="str">
        <f>IFERROR(__xludf.DUMMYFUNCTION("""COMPUTED_VALUE"""),"MAGNAS LUCIE")</f>
        <v>MAGNAS LUCIE</v>
      </c>
      <c r="B149" s="142" t="str">
        <f>IFERROR(__xludf.DUMMYFUNCTION("""COMPUTED_VALUE"""),"PE40")</f>
        <v>PE40</v>
      </c>
      <c r="C149" s="151">
        <f>IFERROR(__xludf.DUMMYFUNCTION("""COMPUTED_VALUE"""),46165.0)</f>
        <v>46165</v>
      </c>
      <c r="D149" s="143" t="str">
        <f t="shared" si="1"/>
        <v>ok</v>
      </c>
      <c r="E149" s="149" t="str">
        <f t="shared" si="2"/>
        <v>MAGNAS LUCIE   ok</v>
      </c>
      <c r="F149" s="149" t="b">
        <f>IFERROR(__xludf.DUMMYFUNCTION("""COMPUTED_VALUE"""),TRUE)</f>
        <v>1</v>
      </c>
      <c r="G149" s="149" t="b">
        <f>IFERROR(__xludf.DUMMYFUNCTION("""COMPUTED_VALUE"""),TRUE)</f>
        <v>1</v>
      </c>
      <c r="H149" s="145" t="str">
        <f>IFERROR(__xludf.DUMMYFUNCTION("""COMPUTED_VALUE"""),"PE40")</f>
        <v>PE40</v>
      </c>
      <c r="K149" s="149" t="str">
        <f t="shared" si="3"/>
        <v>MAGNAS LUCIE   ok   PE40</v>
      </c>
    </row>
    <row r="150" ht="15.75" customHeight="1">
      <c r="A150" s="149" t="str">
        <f>IFERROR(__xludf.DUMMYFUNCTION("""COMPUTED_VALUE"""),"MAGNAS PATRICK")</f>
        <v>MAGNAS PATRICK</v>
      </c>
      <c r="B150" s="142" t="str">
        <f>IFERROR(__xludf.DUMMYFUNCTION("""COMPUTED_VALUE"""),"E2")</f>
        <v>E2</v>
      </c>
      <c r="C150" s="151">
        <f>IFERROR(__xludf.DUMMYFUNCTION("""COMPUTED_VALUE"""),46037.0)</f>
        <v>46037</v>
      </c>
      <c r="D150" s="143" t="str">
        <f t="shared" si="1"/>
        <v>ok</v>
      </c>
      <c r="E150" s="149" t="str">
        <f t="shared" si="2"/>
        <v>MAGNAS PATRICK   ok</v>
      </c>
      <c r="F150" s="149" t="b">
        <f>IFERROR(__xludf.DUMMYFUNCTION("""COMPUTED_VALUE"""),TRUE)</f>
        <v>1</v>
      </c>
      <c r="G150" s="149" t="b">
        <f>IFERROR(__xludf.DUMMYFUNCTION("""COMPUTED_VALUE"""),TRUE)</f>
        <v>1</v>
      </c>
      <c r="H150" s="145" t="str">
        <f>IFERROR(__xludf.DUMMYFUNCTION("""COMPUTED_VALUE"""),"E2")</f>
        <v>E2</v>
      </c>
      <c r="K150" s="149" t="str">
        <f t="shared" si="3"/>
        <v>MAGNAS PATRICK   ok   E2</v>
      </c>
    </row>
    <row r="151" ht="15.75" customHeight="1">
      <c r="A151" s="149" t="str">
        <f>IFERROR(__xludf.DUMMYFUNCTION("""COMPUTED_VALUE"""),"MAINGOT PHILIPPE")</f>
        <v>MAINGOT PHILIPPE</v>
      </c>
      <c r="B151" s="142" t="str">
        <f>IFERROR(__xludf.DUMMYFUNCTION("""COMPUTED_VALUE"""),"PE40")</f>
        <v>PE40</v>
      </c>
      <c r="C151" s="151">
        <f>IFERROR(__xludf.DUMMYFUNCTION("""COMPUTED_VALUE"""),45989.0)</f>
        <v>45989</v>
      </c>
      <c r="D151" s="143" t="str">
        <f t="shared" si="1"/>
        <v>ok</v>
      </c>
      <c r="E151" s="149" t="str">
        <f t="shared" si="2"/>
        <v>MAINGOT PHILIPPE   ok</v>
      </c>
      <c r="F151" s="149" t="b">
        <f>IFERROR(__xludf.DUMMYFUNCTION("""COMPUTED_VALUE"""),TRUE)</f>
        <v>1</v>
      </c>
      <c r="G151" s="149" t="b">
        <f>IFERROR(__xludf.DUMMYFUNCTION("""COMPUTED_VALUE"""),TRUE)</f>
        <v>1</v>
      </c>
      <c r="H151" s="145" t="str">
        <f>IFERROR(__xludf.DUMMYFUNCTION("""COMPUTED_VALUE"""),"PE40")</f>
        <v>PE40</v>
      </c>
      <c r="K151" s="149" t="str">
        <f t="shared" si="3"/>
        <v>MAINGOT PHILIPPE   ok   PE40</v>
      </c>
    </row>
    <row r="152" ht="15.75" customHeight="1">
      <c r="A152" s="149" t="str">
        <f>IFERROR(__xludf.DUMMYFUNCTION("""COMPUTED_VALUE"""),"MARTINEZ LUC")</f>
        <v>MARTINEZ LUC</v>
      </c>
      <c r="B152" s="142" t="str">
        <f>IFERROR(__xludf.DUMMYFUNCTION("""COMPUTED_VALUE"""),"E2 P5")</f>
        <v>E2 P5</v>
      </c>
      <c r="C152" s="151">
        <f>IFERROR(__xludf.DUMMYFUNCTION("""COMPUTED_VALUE"""),45909.0)</f>
        <v>45909</v>
      </c>
      <c r="D152" s="143" t="str">
        <f t="shared" si="1"/>
        <v>ko</v>
      </c>
      <c r="E152" s="149" t="str">
        <f t="shared" si="2"/>
        <v>MARTINEZ LUC   ko</v>
      </c>
      <c r="F152" s="149" t="b">
        <f>IFERROR(__xludf.DUMMYFUNCTION("""COMPUTED_VALUE"""),TRUE)</f>
        <v>1</v>
      </c>
      <c r="G152" s="149" t="b">
        <f>IFERROR(__xludf.DUMMYFUNCTION("""COMPUTED_VALUE"""),TRUE)</f>
        <v>1</v>
      </c>
      <c r="H152" s="145" t="str">
        <f>IFERROR(__xludf.DUMMYFUNCTION("""COMPUTED_VALUE"""),"E2 P5")</f>
        <v>E2 P5</v>
      </c>
      <c r="K152" s="149" t="str">
        <f t="shared" si="3"/>
        <v>MARTINEZ LUC   ko   E2 P5</v>
      </c>
    </row>
    <row r="153" ht="15.75" customHeight="1">
      <c r="A153" s="149" t="str">
        <f>IFERROR(__xludf.DUMMYFUNCTION("""COMPUTED_VALUE"""),"MASCLE ALLEMAND GUYLAINE")</f>
        <v>MASCLE ALLEMAND GUYLAINE</v>
      </c>
      <c r="B153" s="142" t="str">
        <f>IFERROR(__xludf.DUMMYFUNCTION("""COMPUTED_VALUE"""),"PA60  ")</f>
        <v>PA60  </v>
      </c>
      <c r="C153" s="151">
        <f>IFERROR(__xludf.DUMMYFUNCTION("""COMPUTED_VALUE"""),45984.0)</f>
        <v>45984</v>
      </c>
      <c r="D153" s="143" t="str">
        <f t="shared" si="1"/>
        <v>ok</v>
      </c>
      <c r="E153" s="149" t="str">
        <f t="shared" si="2"/>
        <v>MASCLE ALLEMAND GUYLAINE   ok</v>
      </c>
      <c r="F153" s="149" t="b">
        <f>IFERROR(__xludf.DUMMYFUNCTION("""COMPUTED_VALUE"""),TRUE)</f>
        <v>1</v>
      </c>
      <c r="G153" s="149" t="b">
        <f>IFERROR(__xludf.DUMMYFUNCTION("""COMPUTED_VALUE"""),TRUE)</f>
        <v>1</v>
      </c>
      <c r="H153" s="145" t="str">
        <f>IFERROR(__xludf.DUMMYFUNCTION("""COMPUTED_VALUE"""),"PA60  ")</f>
        <v>PA60  </v>
      </c>
      <c r="K153" s="149" t="str">
        <f t="shared" si="3"/>
        <v>MASCLE ALLEMAND GUYLAINE   ok   PA60  </v>
      </c>
    </row>
    <row r="154" ht="15.75" customHeight="1">
      <c r="A154" s="149" t="str">
        <f>IFERROR(__xludf.DUMMYFUNCTION("""COMPUTED_VALUE"""),"MAYLIE STEPHANIE")</f>
        <v>MAYLIE STEPHANIE</v>
      </c>
      <c r="B154" s="142" t="str">
        <f>IFERROR(__xludf.DUMMYFUNCTION("""COMPUTED_VALUE"""),"E3")</f>
        <v>E3</v>
      </c>
      <c r="C154" s="151">
        <f>IFERROR(__xludf.DUMMYFUNCTION("""COMPUTED_VALUE"""),46267.0)</f>
        <v>46267</v>
      </c>
      <c r="D154" s="143" t="str">
        <f t="shared" si="1"/>
        <v>ok</v>
      </c>
      <c r="E154" s="149" t="str">
        <f t="shared" si="2"/>
        <v>MAYLIE STEPHANIE   ok</v>
      </c>
      <c r="F154" s="149" t="b">
        <f>IFERROR(__xludf.DUMMYFUNCTION("""COMPUTED_VALUE"""),TRUE)</f>
        <v>1</v>
      </c>
      <c r="G154" s="149" t="b">
        <f>IFERROR(__xludf.DUMMYFUNCTION("""COMPUTED_VALUE"""),TRUE)</f>
        <v>1</v>
      </c>
      <c r="H154" s="145" t="str">
        <f>IFERROR(__xludf.DUMMYFUNCTION("""COMPUTED_VALUE"""),"E3")</f>
        <v>E3</v>
      </c>
      <c r="K154" s="149" t="str">
        <f t="shared" si="3"/>
        <v>MAYLIE STEPHANIE   ok   E3</v>
      </c>
    </row>
    <row r="155" ht="15.75" customHeight="1">
      <c r="A155" s="149" t="str">
        <f>IFERROR(__xludf.DUMMYFUNCTION("""COMPUTED_VALUE"""),"MEZZOMO Matthieu")</f>
        <v>MEZZOMO Matthieu</v>
      </c>
      <c r="B155" s="142" t="str">
        <f>IFERROR(__xludf.DUMMYFUNCTION("""COMPUTED_VALUE"""),"PE20")</f>
        <v>PE20</v>
      </c>
      <c r="C155" s="151">
        <f>IFERROR(__xludf.DUMMYFUNCTION("""COMPUTED_VALUE"""),46172.0)</f>
        <v>46172</v>
      </c>
      <c r="D155" s="143" t="str">
        <f t="shared" si="1"/>
        <v>ok</v>
      </c>
      <c r="E155" s="149" t="str">
        <f t="shared" si="2"/>
        <v>MEZZOMO Matthieu   ok</v>
      </c>
      <c r="F155" s="149" t="b">
        <f>IFERROR(__xludf.DUMMYFUNCTION("""COMPUTED_VALUE"""),TRUE)</f>
        <v>1</v>
      </c>
      <c r="G155" s="149" t="b">
        <f>IFERROR(__xludf.DUMMYFUNCTION("""COMPUTED_VALUE"""),TRUE)</f>
        <v>1</v>
      </c>
      <c r="H155" s="145" t="str">
        <f>IFERROR(__xludf.DUMMYFUNCTION("""COMPUTED_VALUE"""),"PE20")</f>
        <v>PE20</v>
      </c>
      <c r="K155" s="149" t="str">
        <f t="shared" si="3"/>
        <v>MEZZOMO Matthieu   ok   PE20</v>
      </c>
    </row>
    <row r="156" ht="15.75" customHeight="1">
      <c r="A156" s="149" t="str">
        <f>IFERROR(__xludf.DUMMYFUNCTION("""COMPUTED_VALUE"""),"MICHEL Luna")</f>
        <v>MICHEL Luna</v>
      </c>
      <c r="B156" s="142" t="str">
        <f>IFERROR(__xludf.DUMMYFUNCTION("""COMPUTED_VALUE"""),"PE20")</f>
        <v>PE20</v>
      </c>
      <c r="C156" s="151">
        <f>IFERROR(__xludf.DUMMYFUNCTION("""COMPUTED_VALUE"""),46112.0)</f>
        <v>46112</v>
      </c>
      <c r="D156" s="143" t="str">
        <f t="shared" si="1"/>
        <v>ok</v>
      </c>
      <c r="E156" s="149" t="str">
        <f t="shared" si="2"/>
        <v>MICHEL Luna   ok</v>
      </c>
      <c r="F156" s="149" t="b">
        <f>IFERROR(__xludf.DUMMYFUNCTION("""COMPUTED_VALUE"""),FALSE)</f>
        <v>0</v>
      </c>
      <c r="G156" s="149" t="b">
        <f>IFERROR(__xludf.DUMMYFUNCTION("""COMPUTED_VALUE"""),TRUE)</f>
        <v>1</v>
      </c>
      <c r="H156" s="145" t="str">
        <f>IFERROR(__xludf.DUMMYFUNCTION("""COMPUTED_VALUE"""),"PE20")</f>
        <v>PE20</v>
      </c>
      <c r="K156" s="149" t="str">
        <f t="shared" si="3"/>
        <v>MICHEL Luna   ok   PE20</v>
      </c>
    </row>
    <row r="157" ht="15.75" customHeight="1">
      <c r="A157" s="149" t="str">
        <f>IFERROR(__xludf.DUMMYFUNCTION("""COMPUTED_VALUE"""),"monch yanis")</f>
        <v>monch yanis</v>
      </c>
      <c r="B157" s="142" t="str">
        <f>IFERROR(__xludf.DUMMYFUNCTION("""COMPUTED_VALUE"""),"T1")</f>
        <v>T1</v>
      </c>
      <c r="C157" s="151">
        <f>IFERROR(__xludf.DUMMYFUNCTION("""COMPUTED_VALUE"""),46128.0)</f>
        <v>46128</v>
      </c>
      <c r="D157" s="143" t="str">
        <f t="shared" si="1"/>
        <v>ok</v>
      </c>
      <c r="E157" s="149" t="str">
        <f t="shared" si="2"/>
        <v>monch yanis   ok</v>
      </c>
      <c r="F157" s="149" t="b">
        <f>IFERROR(__xludf.DUMMYFUNCTION("""COMPUTED_VALUE"""),FALSE)</f>
        <v>0</v>
      </c>
      <c r="G157" s="149" t="b">
        <f>IFERROR(__xludf.DUMMYFUNCTION("""COMPUTED_VALUE"""),TRUE)</f>
        <v>1</v>
      </c>
      <c r="H157" s="145" t="str">
        <f>IFERROR(__xludf.DUMMYFUNCTION("""COMPUTED_VALUE"""),"T1")</f>
        <v>T1</v>
      </c>
      <c r="K157" s="149" t="str">
        <f t="shared" si="3"/>
        <v>monch yanis   ok   T1</v>
      </c>
    </row>
    <row r="158" ht="15.75" customHeight="1">
      <c r="A158" s="149" t="str">
        <f>IFERROR(__xludf.DUMMYFUNCTION("""COMPUTED_VALUE"""),"Mosquera José")</f>
        <v>Mosquera José</v>
      </c>
      <c r="B158" s="142" t="str">
        <f>IFERROR(__xludf.DUMMYFUNCTION("""COMPUTED_VALUE"""),"PE20")</f>
        <v>PE20</v>
      </c>
      <c r="C158" s="151">
        <f>IFERROR(__xludf.DUMMYFUNCTION("""COMPUTED_VALUE"""),46050.0)</f>
        <v>46050</v>
      </c>
      <c r="D158" s="143" t="str">
        <f t="shared" si="1"/>
        <v>ok</v>
      </c>
      <c r="E158" s="149" t="str">
        <f t="shared" si="2"/>
        <v>Mosquera José   ok</v>
      </c>
      <c r="F158" s="149" t="b">
        <f>IFERROR(__xludf.DUMMYFUNCTION("""COMPUTED_VALUE"""),FALSE)</f>
        <v>0</v>
      </c>
      <c r="G158" s="149" t="b">
        <f>IFERROR(__xludf.DUMMYFUNCTION("""COMPUTED_VALUE"""),TRUE)</f>
        <v>1</v>
      </c>
      <c r="H158" s="145" t="str">
        <f>IFERROR(__xludf.DUMMYFUNCTION("""COMPUTED_VALUE"""),"PE20")</f>
        <v>PE20</v>
      </c>
      <c r="K158" s="149" t="str">
        <f t="shared" si="3"/>
        <v>Mosquera José   ok   PE20</v>
      </c>
    </row>
    <row r="159" ht="15.75" customHeight="1">
      <c r="A159" s="149" t="str">
        <f>IFERROR(__xludf.DUMMYFUNCTION("""COMPUTED_VALUE"""),"MOULIN FREDERIC")</f>
        <v>MOULIN FREDERIC</v>
      </c>
      <c r="B159" s="142" t="str">
        <f>IFERROR(__xludf.DUMMYFUNCTION("""COMPUTED_VALUE"""),"PA60  ")</f>
        <v>PA60  </v>
      </c>
      <c r="C159" s="151"/>
      <c r="D159" s="143" t="str">
        <f t="shared" si="1"/>
        <v>ko</v>
      </c>
      <c r="E159" s="149" t="str">
        <f t="shared" si="2"/>
        <v>MOULIN FREDERIC   ko</v>
      </c>
      <c r="F159" s="149" t="b">
        <f>IFERROR(__xludf.DUMMYFUNCTION("""COMPUTED_VALUE"""),FALSE)</f>
        <v>0</v>
      </c>
      <c r="G159" s="149" t="b">
        <f>IFERROR(__xludf.DUMMYFUNCTION("""COMPUTED_VALUE"""),TRUE)</f>
        <v>1</v>
      </c>
      <c r="H159" s="145" t="str">
        <f>IFERROR(__xludf.DUMMYFUNCTION("""COMPUTED_VALUE"""),"PA60  ")</f>
        <v>PA60  </v>
      </c>
      <c r="K159" s="149" t="str">
        <f t="shared" si="3"/>
        <v>MOULIN FREDERIC   ko   PA60  </v>
      </c>
    </row>
    <row r="160" ht="15.75" customHeight="1">
      <c r="A160" s="149" t="str">
        <f>IFERROR(__xludf.DUMMYFUNCTION("""COMPUTED_VALUE"""),"MUNTEAN Renat")</f>
        <v>MUNTEAN Renat</v>
      </c>
      <c r="B160" s="142" t="str">
        <f>IFERROR(__xludf.DUMMYFUNCTION("""COMPUTED_VALUE"""),"T1")</f>
        <v>T1</v>
      </c>
      <c r="C160" s="151">
        <f>IFERROR(__xludf.DUMMYFUNCTION("""COMPUTED_VALUE"""),46114.0)</f>
        <v>46114</v>
      </c>
      <c r="D160" s="143" t="str">
        <f t="shared" si="1"/>
        <v>ok</v>
      </c>
      <c r="E160" s="149" t="str">
        <f t="shared" si="2"/>
        <v>MUNTEAN Renat   ok</v>
      </c>
      <c r="F160" s="149" t="b">
        <f>IFERROR(__xludf.DUMMYFUNCTION("""COMPUTED_VALUE"""),FALSE)</f>
        <v>0</v>
      </c>
      <c r="G160" s="149" t="b">
        <f>IFERROR(__xludf.DUMMYFUNCTION("""COMPUTED_VALUE"""),TRUE)</f>
        <v>1</v>
      </c>
      <c r="H160" s="145" t="str">
        <f>IFERROR(__xludf.DUMMYFUNCTION("""COMPUTED_VALUE"""),"T1")</f>
        <v>T1</v>
      </c>
      <c r="K160" s="149" t="str">
        <f t="shared" si="3"/>
        <v>MUNTEAN Renat   ok   T1</v>
      </c>
    </row>
    <row r="161" ht="15.75" customHeight="1">
      <c r="A161" s="149" t="str">
        <f>IFERROR(__xludf.DUMMYFUNCTION("""COMPUTED_VALUE"""),"Nigon Cédric")</f>
        <v>Nigon Cédric</v>
      </c>
      <c r="B161" s="142" t="str">
        <f>IFERROR(__xludf.DUMMYFUNCTION("""COMPUTED_VALUE"""),"PA60 E1")</f>
        <v>PA60 E1</v>
      </c>
      <c r="C161" s="151">
        <f>IFERROR(__xludf.DUMMYFUNCTION("""COMPUTED_VALUE"""),46126.0)</f>
        <v>46126</v>
      </c>
      <c r="D161" s="143" t="str">
        <f t="shared" si="1"/>
        <v>ok</v>
      </c>
      <c r="E161" s="149" t="str">
        <f t="shared" si="2"/>
        <v>Nigon Cédric   ok</v>
      </c>
      <c r="F161" s="149" t="b">
        <f>IFERROR(__xludf.DUMMYFUNCTION("""COMPUTED_VALUE"""),FALSE)</f>
        <v>0</v>
      </c>
      <c r="G161" s="149" t="b">
        <f>IFERROR(__xludf.DUMMYFUNCTION("""COMPUTED_VALUE"""),TRUE)</f>
        <v>1</v>
      </c>
      <c r="H161" s="145" t="str">
        <f>IFERROR(__xludf.DUMMYFUNCTION("""COMPUTED_VALUE"""),"PA60 E1")</f>
        <v>PA60 E1</v>
      </c>
      <c r="K161" s="149" t="str">
        <f t="shared" si="3"/>
        <v>Nigon Cédric   ok   PA60 E1</v>
      </c>
    </row>
    <row r="162" ht="15.75" customHeight="1">
      <c r="A162" s="149" t="str">
        <f>IFERROR(__xludf.DUMMYFUNCTION("""COMPUTED_VALUE"""),"NOLIN Claire-Hélène")</f>
        <v>NOLIN Claire-Hélène</v>
      </c>
      <c r="B162" s="142" t="str">
        <f>IFERROR(__xludf.DUMMYFUNCTION("""COMPUTED_VALUE"""),"T1")</f>
        <v>T1</v>
      </c>
      <c r="C162" s="151">
        <f>IFERROR(__xludf.DUMMYFUNCTION("""COMPUTED_VALUE"""),46222.0)</f>
        <v>46222</v>
      </c>
      <c r="D162" s="143" t="str">
        <f t="shared" si="1"/>
        <v>ok</v>
      </c>
      <c r="E162" s="149" t="str">
        <f t="shared" si="2"/>
        <v>NOLIN Claire-Hélène   ok</v>
      </c>
      <c r="F162" s="149" t="b">
        <f>IFERROR(__xludf.DUMMYFUNCTION("""COMPUTED_VALUE"""),FALSE)</f>
        <v>0</v>
      </c>
      <c r="G162" s="149" t="b">
        <f>IFERROR(__xludf.DUMMYFUNCTION("""COMPUTED_VALUE"""),TRUE)</f>
        <v>1</v>
      </c>
      <c r="H162" s="145" t="str">
        <f>IFERROR(__xludf.DUMMYFUNCTION("""COMPUTED_VALUE"""),"T1")</f>
        <v>T1</v>
      </c>
      <c r="K162" s="149" t="str">
        <f t="shared" si="3"/>
        <v>NOLIN Claire-Hélène   ok   T1</v>
      </c>
    </row>
    <row r="163" ht="15.75" customHeight="1">
      <c r="A163" s="149" t="str">
        <f>IFERROR(__xludf.DUMMYFUNCTION("""COMPUTED_VALUE"""),"NOLIN Emilie")</f>
        <v>NOLIN Emilie</v>
      </c>
      <c r="B163" s="142" t="str">
        <f>IFERROR(__xludf.DUMMYFUNCTION("""COMPUTED_VALUE"""),"PE20")</f>
        <v>PE20</v>
      </c>
      <c r="C163" s="151">
        <f>IFERROR(__xludf.DUMMYFUNCTION("""COMPUTED_VALUE"""),46221.0)</f>
        <v>46221</v>
      </c>
      <c r="D163" s="143" t="str">
        <f t="shared" si="1"/>
        <v>ok</v>
      </c>
      <c r="E163" s="149" t="str">
        <f t="shared" si="2"/>
        <v>NOLIN Emilie   ok</v>
      </c>
      <c r="F163" s="149" t="b">
        <f>IFERROR(__xludf.DUMMYFUNCTION("""COMPUTED_VALUE"""),FALSE)</f>
        <v>0</v>
      </c>
      <c r="G163" s="149" t="b">
        <f>IFERROR(__xludf.DUMMYFUNCTION("""COMPUTED_VALUE"""),TRUE)</f>
        <v>1</v>
      </c>
      <c r="H163" s="145" t="str">
        <f>IFERROR(__xludf.DUMMYFUNCTION("""COMPUTED_VALUE"""),"PE20")</f>
        <v>PE20</v>
      </c>
      <c r="K163" s="149" t="str">
        <f t="shared" si="3"/>
        <v>NOLIN Emilie   ok   PE20</v>
      </c>
    </row>
    <row r="164" ht="15.75" customHeight="1">
      <c r="A164" s="149" t="str">
        <f>IFERROR(__xludf.DUMMYFUNCTION("""COMPUTED_VALUE"""),"NOLIN HUGO")</f>
        <v>NOLIN HUGO</v>
      </c>
      <c r="B164" s="142" t="str">
        <f>IFERROR(__xludf.DUMMYFUNCTION("""COMPUTED_VALUE"""),"PA60  ")</f>
        <v>PA60  </v>
      </c>
      <c r="C164" s="151">
        <f>IFERROR(__xludf.DUMMYFUNCTION("""COMPUTED_VALUE"""),46157.0)</f>
        <v>46157</v>
      </c>
      <c r="D164" s="143" t="str">
        <f t="shared" si="1"/>
        <v>ok</v>
      </c>
      <c r="E164" s="149" t="str">
        <f t="shared" si="2"/>
        <v>NOLIN HUGO   ok</v>
      </c>
      <c r="F164" s="149" t="b">
        <f>IFERROR(__xludf.DUMMYFUNCTION("""COMPUTED_VALUE"""),TRUE)</f>
        <v>1</v>
      </c>
      <c r="G164" s="149" t="b">
        <f>IFERROR(__xludf.DUMMYFUNCTION("""COMPUTED_VALUE"""),TRUE)</f>
        <v>1</v>
      </c>
      <c r="H164" s="145" t="str">
        <f>IFERROR(__xludf.DUMMYFUNCTION("""COMPUTED_VALUE"""),"PA60  ")</f>
        <v>PA60  </v>
      </c>
      <c r="K164" s="149" t="str">
        <f t="shared" si="3"/>
        <v>NOLIN HUGO   ok   PA60  </v>
      </c>
    </row>
    <row r="165" ht="15.75" customHeight="1">
      <c r="A165" s="149" t="str">
        <f>IFERROR(__xludf.DUMMYFUNCTION("""COMPUTED_VALUE"""),"NOLIN Julien")</f>
        <v>NOLIN Julien</v>
      </c>
      <c r="B165" s="142" t="str">
        <f>IFERROR(__xludf.DUMMYFUNCTION("""COMPUTED_VALUE"""),"PE40 PA20")</f>
        <v>PE40 PA20</v>
      </c>
      <c r="C165" s="151">
        <f>IFERROR(__xludf.DUMMYFUNCTION("""COMPUTED_VALUE"""),46157.0)</f>
        <v>46157</v>
      </c>
      <c r="D165" s="143" t="str">
        <f t="shared" si="1"/>
        <v>ok</v>
      </c>
      <c r="E165" s="149" t="str">
        <f t="shared" si="2"/>
        <v>NOLIN Julien   ok</v>
      </c>
      <c r="F165" s="149" t="b">
        <f>IFERROR(__xludf.DUMMYFUNCTION("""COMPUTED_VALUE"""),TRUE)</f>
        <v>1</v>
      </c>
      <c r="G165" s="149" t="b">
        <f>IFERROR(__xludf.DUMMYFUNCTION("""COMPUTED_VALUE"""),TRUE)</f>
        <v>1</v>
      </c>
      <c r="H165" s="145" t="str">
        <f>IFERROR(__xludf.DUMMYFUNCTION("""COMPUTED_VALUE"""),"PE40 PA20")</f>
        <v>PE40 PA20</v>
      </c>
      <c r="K165" s="149" t="str">
        <f t="shared" si="3"/>
        <v>NOLIN Julien   ok   PE40 PA20</v>
      </c>
    </row>
    <row r="166" ht="15.75" customHeight="1">
      <c r="A166" s="149" t="str">
        <f>IFERROR(__xludf.DUMMYFUNCTION("""COMPUTED_VALUE"""),"NOLIN Sophie")</f>
        <v>NOLIN Sophie</v>
      </c>
      <c r="B166" s="142" t="str">
        <f>IFERROR(__xludf.DUMMYFUNCTION("""COMPUTED_VALUE"""),"T1")</f>
        <v>T1</v>
      </c>
      <c r="C166" s="151">
        <f>IFERROR(__xludf.DUMMYFUNCTION("""COMPUTED_VALUE"""),46221.0)</f>
        <v>46221</v>
      </c>
      <c r="D166" s="143" t="str">
        <f t="shared" si="1"/>
        <v>ok</v>
      </c>
      <c r="E166" s="149" t="str">
        <f t="shared" si="2"/>
        <v>NOLIN Sophie   ok</v>
      </c>
      <c r="F166" s="149" t="b">
        <f>IFERROR(__xludf.DUMMYFUNCTION("""COMPUTED_VALUE"""),FALSE)</f>
        <v>0</v>
      </c>
      <c r="G166" s="149" t="b">
        <f>IFERROR(__xludf.DUMMYFUNCTION("""COMPUTED_VALUE"""),TRUE)</f>
        <v>1</v>
      </c>
      <c r="H166" s="145" t="str">
        <f>IFERROR(__xludf.DUMMYFUNCTION("""COMPUTED_VALUE"""),"T1")</f>
        <v>T1</v>
      </c>
      <c r="K166" s="149" t="str">
        <f t="shared" si="3"/>
        <v>NOLIN Sophie   ok   T1</v>
      </c>
    </row>
    <row r="167" ht="15.75" customHeight="1">
      <c r="A167" s="149" t="str">
        <f>IFERROR(__xludf.DUMMYFUNCTION("""COMPUTED_VALUE"""),"NOLIN Yann")</f>
        <v>NOLIN Yann</v>
      </c>
      <c r="B167" s="142" t="str">
        <f>IFERROR(__xludf.DUMMYFUNCTION("""COMPUTED_VALUE"""),"PA60  ")</f>
        <v>PA60  </v>
      </c>
      <c r="C167" s="151">
        <f>IFERROR(__xludf.DUMMYFUNCTION("""COMPUTED_VALUE"""),46158.0)</f>
        <v>46158</v>
      </c>
      <c r="D167" s="143" t="str">
        <f t="shared" si="1"/>
        <v>ok</v>
      </c>
      <c r="E167" s="149" t="str">
        <f t="shared" si="2"/>
        <v>NOLIN Yann   ok</v>
      </c>
      <c r="F167" s="149" t="b">
        <f>IFERROR(__xludf.DUMMYFUNCTION("""COMPUTED_VALUE"""),TRUE)</f>
        <v>1</v>
      </c>
      <c r="G167" s="149" t="b">
        <f>IFERROR(__xludf.DUMMYFUNCTION("""COMPUTED_VALUE"""),TRUE)</f>
        <v>1</v>
      </c>
      <c r="H167" s="145" t="str">
        <f>IFERROR(__xludf.DUMMYFUNCTION("""COMPUTED_VALUE"""),"PA60  ")</f>
        <v>PA60  </v>
      </c>
      <c r="K167" s="149" t="str">
        <f t="shared" si="3"/>
        <v>NOLIN Yann   ok   PA60  </v>
      </c>
    </row>
    <row r="168" ht="15.75" customHeight="1">
      <c r="A168" s="149" t="str">
        <f>IFERROR(__xludf.DUMMYFUNCTION("""COMPUTED_VALUE"""),"Ouled Miled Rayane")</f>
        <v>Ouled Miled Rayane</v>
      </c>
      <c r="B168" s="142" t="str">
        <f>IFERROR(__xludf.DUMMYFUNCTION("""COMPUTED_VALUE"""),"PE20")</f>
        <v>PE20</v>
      </c>
      <c r="C168" s="151">
        <f>IFERROR(__xludf.DUMMYFUNCTION("""COMPUTED_VALUE"""),46134.0)</f>
        <v>46134</v>
      </c>
      <c r="D168" s="143" t="str">
        <f t="shared" si="1"/>
        <v>ok</v>
      </c>
      <c r="E168" s="149" t="str">
        <f t="shared" si="2"/>
        <v>Ouled Miled Rayane   ok</v>
      </c>
      <c r="F168" s="149" t="b">
        <f>IFERROR(__xludf.DUMMYFUNCTION("""COMPUTED_VALUE"""),FALSE)</f>
        <v>0</v>
      </c>
      <c r="G168" s="149" t="b">
        <f>IFERROR(__xludf.DUMMYFUNCTION("""COMPUTED_VALUE"""),TRUE)</f>
        <v>1</v>
      </c>
      <c r="H168" s="145" t="str">
        <f>IFERROR(__xludf.DUMMYFUNCTION("""COMPUTED_VALUE"""),"PE20")</f>
        <v>PE20</v>
      </c>
      <c r="K168" s="149" t="str">
        <f t="shared" si="3"/>
        <v>Ouled Miled Rayane   ok   PE20</v>
      </c>
    </row>
    <row r="169" ht="15.75" customHeight="1">
      <c r="A169" s="149" t="str">
        <f>IFERROR(__xludf.DUMMYFUNCTION("""COMPUTED_VALUE"""),"PANIZZI-MISSAGGIA Matteo")</f>
        <v>PANIZZI-MISSAGGIA Matteo</v>
      </c>
      <c r="B169" s="142" t="str">
        <f>IFERROR(__xludf.DUMMYFUNCTION("""COMPUTED_VALUE"""),"PE20")</f>
        <v>PE20</v>
      </c>
      <c r="C169" s="151">
        <f>IFERROR(__xludf.DUMMYFUNCTION("""COMPUTED_VALUE"""),45946.0)</f>
        <v>45946</v>
      </c>
      <c r="D169" s="143" t="str">
        <f t="shared" si="1"/>
        <v>ok</v>
      </c>
      <c r="E169" s="149" t="str">
        <f t="shared" si="2"/>
        <v>PANIZZI-MISSAGGIA Matteo   ok</v>
      </c>
      <c r="F169" s="149" t="b">
        <f>IFERROR(__xludf.DUMMYFUNCTION("""COMPUTED_VALUE"""),FALSE)</f>
        <v>0</v>
      </c>
      <c r="G169" s="149" t="b">
        <f>IFERROR(__xludf.DUMMYFUNCTION("""COMPUTED_VALUE"""),TRUE)</f>
        <v>1</v>
      </c>
      <c r="H169" s="145" t="str">
        <f>IFERROR(__xludf.DUMMYFUNCTION("""COMPUTED_VALUE"""),"PE20")</f>
        <v>PE20</v>
      </c>
      <c r="K169" s="149" t="str">
        <f t="shared" si="3"/>
        <v>PANIZZI-MISSAGGIA Matteo   ok   PE20</v>
      </c>
    </row>
    <row r="170" ht="15.75" customHeight="1">
      <c r="A170" s="149" t="str">
        <f>IFERROR(__xludf.DUMMYFUNCTION("""COMPUTED_VALUE"""),"Peinado Thomas")</f>
        <v>Peinado Thomas</v>
      </c>
      <c r="B170" s="142" t="str">
        <f>IFERROR(__xludf.DUMMYFUNCTION("""COMPUTED_VALUE"""),"PE20")</f>
        <v>PE20</v>
      </c>
      <c r="C170" s="151">
        <f>IFERROR(__xludf.DUMMYFUNCTION("""COMPUTED_VALUE"""),46112.0)</f>
        <v>46112</v>
      </c>
      <c r="D170" s="143" t="str">
        <f t="shared" si="1"/>
        <v>ok</v>
      </c>
      <c r="E170" s="149" t="str">
        <f t="shared" si="2"/>
        <v>Peinado Thomas   ok</v>
      </c>
      <c r="F170" s="149" t="b">
        <f>IFERROR(__xludf.DUMMYFUNCTION("""COMPUTED_VALUE"""),FALSE)</f>
        <v>0</v>
      </c>
      <c r="G170" s="149" t="b">
        <f>IFERROR(__xludf.DUMMYFUNCTION("""COMPUTED_VALUE"""),TRUE)</f>
        <v>1</v>
      </c>
      <c r="H170" s="145" t="str">
        <f>IFERROR(__xludf.DUMMYFUNCTION("""COMPUTED_VALUE"""),"PE20")</f>
        <v>PE20</v>
      </c>
      <c r="K170" s="149" t="str">
        <f t="shared" si="3"/>
        <v>Peinado Thomas   ok   PE20</v>
      </c>
    </row>
    <row r="171" ht="15.75" customHeight="1">
      <c r="A171" s="149" t="str">
        <f>IFERROR(__xludf.DUMMYFUNCTION("""COMPUTED_VALUE"""),"PELLISSIER	LORENZO")</f>
        <v>PELLISSIER	LORENZO</v>
      </c>
      <c r="B171" s="142" t="str">
        <f>IFERROR(__xludf.DUMMYFUNCTION("""COMPUTED_VALUE"""),"PE20")</f>
        <v>PE20</v>
      </c>
      <c r="C171" s="151">
        <f>IFERROR(__xludf.DUMMYFUNCTION("""COMPUTED_VALUE"""),46112.0)</f>
        <v>46112</v>
      </c>
      <c r="D171" s="143" t="str">
        <f t="shared" si="1"/>
        <v>ok</v>
      </c>
      <c r="E171" s="149" t="str">
        <f t="shared" si="2"/>
        <v>PELLISSIER	LORENZO   ok</v>
      </c>
      <c r="F171" s="149" t="b">
        <f>IFERROR(__xludf.DUMMYFUNCTION("""COMPUTED_VALUE"""),FALSE)</f>
        <v>0</v>
      </c>
      <c r="G171" s="149" t="b">
        <f>IFERROR(__xludf.DUMMYFUNCTION("""COMPUTED_VALUE"""),TRUE)</f>
        <v>1</v>
      </c>
      <c r="H171" s="145" t="str">
        <f>IFERROR(__xludf.DUMMYFUNCTION("""COMPUTED_VALUE"""),"PE20")</f>
        <v>PE20</v>
      </c>
      <c r="K171" s="149" t="str">
        <f t="shared" si="3"/>
        <v>PELLISSIER	LORENZO   ok   PE20</v>
      </c>
    </row>
    <row r="172" ht="15.75" customHeight="1">
      <c r="A172" s="149" t="str">
        <f>IFERROR(__xludf.DUMMYFUNCTION("""COMPUTED_VALUE"""),"PERFETTINI Xavier")</f>
        <v>PERFETTINI Xavier</v>
      </c>
      <c r="B172" s="142" t="str">
        <f>IFERROR(__xludf.DUMMYFUNCTION("""COMPUTED_VALUE"""),"PE40")</f>
        <v>PE40</v>
      </c>
      <c r="C172" s="151">
        <f>IFERROR(__xludf.DUMMYFUNCTION("""COMPUTED_VALUE"""),46165.0)</f>
        <v>46165</v>
      </c>
      <c r="D172" s="143" t="str">
        <f t="shared" si="1"/>
        <v>ok</v>
      </c>
      <c r="E172" s="149" t="str">
        <f t="shared" si="2"/>
        <v>PERFETTINI Xavier   ok</v>
      </c>
      <c r="F172" s="149" t="b">
        <f>IFERROR(__xludf.DUMMYFUNCTION("""COMPUTED_VALUE"""),FALSE)</f>
        <v>0</v>
      </c>
      <c r="G172" s="149" t="b">
        <f>IFERROR(__xludf.DUMMYFUNCTION("""COMPUTED_VALUE"""),TRUE)</f>
        <v>1</v>
      </c>
      <c r="H172" s="145" t="str">
        <f>IFERROR(__xludf.DUMMYFUNCTION("""COMPUTED_VALUE"""),"PE40")</f>
        <v>PE40</v>
      </c>
      <c r="K172" s="149" t="str">
        <f t="shared" si="3"/>
        <v>PERFETTINI Xavier   ok   PE40</v>
      </c>
    </row>
    <row r="173" ht="15.75" customHeight="1">
      <c r="A173" s="149" t="str">
        <f>IFERROR(__xludf.DUMMYFUNCTION("""COMPUTED_VALUE"""),"PESCE Barthelemy")</f>
        <v>PESCE Barthelemy</v>
      </c>
      <c r="B173" s="142" t="str">
        <f>IFERROR(__xludf.DUMMYFUNCTION("""COMPUTED_VALUE"""),"PE20")</f>
        <v>PE20</v>
      </c>
      <c r="C173" s="151">
        <f>IFERROR(__xludf.DUMMYFUNCTION("""COMPUTED_VALUE"""),46240.0)</f>
        <v>46240</v>
      </c>
      <c r="D173" s="143" t="str">
        <f t="shared" si="1"/>
        <v>ok</v>
      </c>
      <c r="E173" s="149" t="str">
        <f t="shared" si="2"/>
        <v>PESCE Barthelemy   ok</v>
      </c>
      <c r="F173" s="149" t="b">
        <f>IFERROR(__xludf.DUMMYFUNCTION("""COMPUTED_VALUE"""),TRUE)</f>
        <v>1</v>
      </c>
      <c r="G173" s="149" t="b">
        <f>IFERROR(__xludf.DUMMYFUNCTION("""COMPUTED_VALUE"""),TRUE)</f>
        <v>1</v>
      </c>
      <c r="H173" s="145" t="str">
        <f>IFERROR(__xludf.DUMMYFUNCTION("""COMPUTED_VALUE"""),"PE20")</f>
        <v>PE20</v>
      </c>
      <c r="K173" s="149" t="str">
        <f t="shared" si="3"/>
        <v>PESCE Barthelemy   ok   PE20</v>
      </c>
    </row>
    <row r="174" ht="15.75" customHeight="1">
      <c r="A174" s="149" t="str">
        <f>IFERROR(__xludf.DUMMYFUNCTION("""COMPUTED_VALUE"""),"PESME DAVID")</f>
        <v>PESME DAVID</v>
      </c>
      <c r="B174" s="142" t="str">
        <f>IFERROR(__xludf.DUMMYFUNCTION("""COMPUTED_VALUE"""),"E2")</f>
        <v>E2</v>
      </c>
      <c r="C174" s="151">
        <f>IFERROR(__xludf.DUMMYFUNCTION("""COMPUTED_VALUE"""),45990.0)</f>
        <v>45990</v>
      </c>
      <c r="D174" s="143" t="str">
        <f t="shared" si="1"/>
        <v>ok</v>
      </c>
      <c r="E174" s="149" t="str">
        <f t="shared" si="2"/>
        <v>PESME DAVID   ok</v>
      </c>
      <c r="F174" s="149" t="b">
        <f>IFERROR(__xludf.DUMMYFUNCTION("""COMPUTED_VALUE"""),TRUE)</f>
        <v>1</v>
      </c>
      <c r="G174" s="149" t="b">
        <f>IFERROR(__xludf.DUMMYFUNCTION("""COMPUTED_VALUE"""),TRUE)</f>
        <v>1</v>
      </c>
      <c r="H174" s="145" t="str">
        <f>IFERROR(__xludf.DUMMYFUNCTION("""COMPUTED_VALUE"""),"E2")</f>
        <v>E2</v>
      </c>
      <c r="K174" s="149" t="str">
        <f t="shared" si="3"/>
        <v>PESME DAVID   ok   E2</v>
      </c>
    </row>
    <row r="175" ht="15.75" customHeight="1">
      <c r="A175" s="149" t="str">
        <f>IFERROR(__xludf.DUMMYFUNCTION("""COMPUTED_VALUE"""),"PETIT--LANFRANCHI Antoine")</f>
        <v>PETIT--LANFRANCHI Antoine</v>
      </c>
      <c r="B175" s="142" t="str">
        <f>IFERROR(__xludf.DUMMYFUNCTION("""COMPUTED_VALUE"""),"PE40 PA20")</f>
        <v>PE40 PA20</v>
      </c>
      <c r="C175" s="151"/>
      <c r="D175" s="143" t="str">
        <f t="shared" si="1"/>
        <v>ko</v>
      </c>
      <c r="E175" s="149" t="str">
        <f t="shared" si="2"/>
        <v>PETIT--LANFRANCHI Antoine   ko</v>
      </c>
      <c r="F175" s="149" t="b">
        <f>IFERROR(__xludf.DUMMYFUNCTION("""COMPUTED_VALUE"""),FALSE)</f>
        <v>0</v>
      </c>
      <c r="G175" s="149" t="b">
        <f>IFERROR(__xludf.DUMMYFUNCTION("""COMPUTED_VALUE"""),TRUE)</f>
        <v>1</v>
      </c>
      <c r="H175" s="145" t="str">
        <f>IFERROR(__xludf.DUMMYFUNCTION("""COMPUTED_VALUE"""),"PE40 PA20")</f>
        <v>PE40 PA20</v>
      </c>
      <c r="K175" s="149" t="str">
        <f t="shared" si="3"/>
        <v>PETIT--LANFRANCHI Antoine   ko   PE40 PA20</v>
      </c>
    </row>
    <row r="176" ht="15.75" customHeight="1">
      <c r="A176" s="149" t="str">
        <f>IFERROR(__xludf.DUMMYFUNCTION("""COMPUTED_VALUE"""),"PIATIER Melvil")</f>
        <v>PIATIER Melvil</v>
      </c>
      <c r="B176" s="142" t="str">
        <f>IFERROR(__xludf.DUMMYFUNCTION("""COMPUTED_VALUE"""),"PE20")</f>
        <v>PE20</v>
      </c>
      <c r="C176" s="151">
        <f>IFERROR(__xludf.DUMMYFUNCTION("""COMPUTED_VALUE"""),46191.0)</f>
        <v>46191</v>
      </c>
      <c r="D176" s="143" t="str">
        <f t="shared" si="1"/>
        <v>ok</v>
      </c>
      <c r="E176" s="149" t="str">
        <f t="shared" si="2"/>
        <v>PIATIER Melvil   ok</v>
      </c>
      <c r="F176" s="149" t="b">
        <f>IFERROR(__xludf.DUMMYFUNCTION("""COMPUTED_VALUE"""),FALSE)</f>
        <v>0</v>
      </c>
      <c r="G176" s="149" t="b">
        <f>IFERROR(__xludf.DUMMYFUNCTION("""COMPUTED_VALUE"""),TRUE)</f>
        <v>1</v>
      </c>
      <c r="H176" s="145" t="str">
        <f>IFERROR(__xludf.DUMMYFUNCTION("""COMPUTED_VALUE"""),"PE20")</f>
        <v>PE20</v>
      </c>
      <c r="K176" s="149" t="str">
        <f t="shared" si="3"/>
        <v>PIATIER Melvil   ok   PE20</v>
      </c>
    </row>
    <row r="177" ht="15.75" customHeight="1">
      <c r="A177" s="149" t="str">
        <f>IFERROR(__xludf.DUMMYFUNCTION("""COMPUTED_VALUE"""),"PIERLOT LOIC")</f>
        <v>PIERLOT LOIC</v>
      </c>
      <c r="B177" s="142" t="str">
        <f>IFERROR(__xludf.DUMMYFUNCTION("""COMPUTED_VALUE"""),"E3")</f>
        <v>E3</v>
      </c>
      <c r="C177" s="151">
        <f>IFERROR(__xludf.DUMMYFUNCTION("""COMPUTED_VALUE"""),45913.0)</f>
        <v>45913</v>
      </c>
      <c r="D177" s="143" t="str">
        <f t="shared" si="1"/>
        <v>ko</v>
      </c>
      <c r="E177" s="149" t="str">
        <f t="shared" si="2"/>
        <v>PIERLOT LOIC   ko</v>
      </c>
      <c r="F177" s="149" t="b">
        <f>IFERROR(__xludf.DUMMYFUNCTION("""COMPUTED_VALUE"""),TRUE)</f>
        <v>1</v>
      </c>
      <c r="G177" s="149" t="b">
        <f>IFERROR(__xludf.DUMMYFUNCTION("""COMPUTED_VALUE"""),TRUE)</f>
        <v>1</v>
      </c>
      <c r="H177" s="145" t="str">
        <f>IFERROR(__xludf.DUMMYFUNCTION("""COMPUTED_VALUE"""),"E3")</f>
        <v>E3</v>
      </c>
      <c r="K177" s="149" t="str">
        <f t="shared" si="3"/>
        <v>PIERLOT LOIC   ko   E3</v>
      </c>
    </row>
    <row r="178" ht="15.75" customHeight="1">
      <c r="A178" s="149" t="str">
        <f>IFERROR(__xludf.DUMMYFUNCTION("""COMPUTED_VALUE"""),"PIERLOT MARYLINE")</f>
        <v>PIERLOT MARYLINE</v>
      </c>
      <c r="B178" s="142" t="str">
        <f>IFERROR(__xludf.DUMMYFUNCTION("""COMPUTED_VALUE"""),"E3")</f>
        <v>E3</v>
      </c>
      <c r="C178" s="151">
        <f>IFERROR(__xludf.DUMMYFUNCTION("""COMPUTED_VALUE"""),45906.0)</f>
        <v>45906</v>
      </c>
      <c r="D178" s="143" t="str">
        <f t="shared" si="1"/>
        <v>ko</v>
      </c>
      <c r="E178" s="149" t="str">
        <f t="shared" si="2"/>
        <v>PIERLOT MARYLINE   ko</v>
      </c>
      <c r="F178" s="149" t="b">
        <f>IFERROR(__xludf.DUMMYFUNCTION("""COMPUTED_VALUE"""),TRUE)</f>
        <v>1</v>
      </c>
      <c r="G178" s="149" t="b">
        <f>IFERROR(__xludf.DUMMYFUNCTION("""COMPUTED_VALUE"""),TRUE)</f>
        <v>1</v>
      </c>
      <c r="H178" s="145" t="str">
        <f>IFERROR(__xludf.DUMMYFUNCTION("""COMPUTED_VALUE"""),"E3")</f>
        <v>E3</v>
      </c>
      <c r="K178" s="149" t="str">
        <f t="shared" si="3"/>
        <v>PIERLOT MARYLINE   ko   E3</v>
      </c>
    </row>
    <row r="179" ht="15.75" customHeight="1">
      <c r="A179" s="149" t="str">
        <f>IFERROR(__xludf.DUMMYFUNCTION("""COMPUTED_VALUE"""),"PIERLOT ROMEO")</f>
        <v>PIERLOT ROMEO</v>
      </c>
      <c r="B179" s="142" t="str">
        <f>IFERROR(__xludf.DUMMYFUNCTION("""COMPUTED_VALUE"""),"PE20")</f>
        <v>PE20</v>
      </c>
      <c r="C179" s="151">
        <f>IFERROR(__xludf.DUMMYFUNCTION("""COMPUTED_VALUE"""),46150.0)</f>
        <v>46150</v>
      </c>
      <c r="D179" s="143" t="str">
        <f t="shared" si="1"/>
        <v>ok</v>
      </c>
      <c r="E179" s="149" t="str">
        <f t="shared" si="2"/>
        <v>PIERLOT ROMEO   ok</v>
      </c>
      <c r="F179" s="149" t="b">
        <f>IFERROR(__xludf.DUMMYFUNCTION("""COMPUTED_VALUE"""),TRUE)</f>
        <v>1</v>
      </c>
      <c r="G179" s="149" t="b">
        <f>IFERROR(__xludf.DUMMYFUNCTION("""COMPUTED_VALUE"""),TRUE)</f>
        <v>1</v>
      </c>
      <c r="H179" s="145" t="str">
        <f>IFERROR(__xludf.DUMMYFUNCTION("""COMPUTED_VALUE"""),"PE20")</f>
        <v>PE20</v>
      </c>
      <c r="K179" s="149" t="str">
        <f t="shared" si="3"/>
        <v>PIERLOT ROMEO   ok   PE20</v>
      </c>
    </row>
    <row r="180" ht="15.75" customHeight="1">
      <c r="A180" s="149" t="str">
        <f>IFERROR(__xludf.DUMMYFUNCTION("""COMPUTED_VALUE"""),"PIERRE ROSALIE")</f>
        <v>PIERRE ROSALIE</v>
      </c>
      <c r="B180" s="142" t="str">
        <f>IFERROR(__xludf.DUMMYFUNCTION("""COMPUTED_VALUE"""),"PE20")</f>
        <v>PE20</v>
      </c>
      <c r="C180" s="151">
        <f>IFERROR(__xludf.DUMMYFUNCTION("""COMPUTED_VALUE"""),46207.0)</f>
        <v>46207</v>
      </c>
      <c r="D180" s="143" t="str">
        <f t="shared" si="1"/>
        <v>ok</v>
      </c>
      <c r="E180" s="149" t="str">
        <f t="shared" si="2"/>
        <v>PIERRE ROSALIE   ok</v>
      </c>
      <c r="F180" s="149" t="b">
        <f>IFERROR(__xludf.DUMMYFUNCTION("""COMPUTED_VALUE"""),FALSE)</f>
        <v>0</v>
      </c>
      <c r="G180" s="149" t="b">
        <f>IFERROR(__xludf.DUMMYFUNCTION("""COMPUTED_VALUE"""),TRUE)</f>
        <v>1</v>
      </c>
      <c r="H180" s="145" t="str">
        <f>IFERROR(__xludf.DUMMYFUNCTION("""COMPUTED_VALUE"""),"PE20")</f>
        <v>PE20</v>
      </c>
      <c r="K180" s="149" t="str">
        <f t="shared" si="3"/>
        <v>PIERRE ROSALIE   ok   PE20</v>
      </c>
    </row>
    <row r="181" ht="15.75" customHeight="1">
      <c r="A181" s="149" t="str">
        <f>IFERROR(__xludf.DUMMYFUNCTION("""COMPUTED_VALUE"""),"Pigeot	Hanna")</f>
        <v>Pigeot	Hanna</v>
      </c>
      <c r="B181" s="142" t="str">
        <f>IFERROR(__xludf.DUMMYFUNCTION("""COMPUTED_VALUE"""),"PE20")</f>
        <v>PE20</v>
      </c>
      <c r="C181" s="151">
        <f>IFERROR(__xludf.DUMMYFUNCTION("""COMPUTED_VALUE"""),46147.0)</f>
        <v>46147</v>
      </c>
      <c r="D181" s="143" t="str">
        <f t="shared" si="1"/>
        <v>ok</v>
      </c>
      <c r="E181" s="149" t="str">
        <f t="shared" si="2"/>
        <v>Pigeot	Hanna   ok</v>
      </c>
      <c r="F181" s="149" t="b">
        <f>IFERROR(__xludf.DUMMYFUNCTION("""COMPUTED_VALUE"""),FALSE)</f>
        <v>0</v>
      </c>
      <c r="G181" s="149" t="b">
        <f>IFERROR(__xludf.DUMMYFUNCTION("""COMPUTED_VALUE"""),TRUE)</f>
        <v>1</v>
      </c>
      <c r="H181" s="145" t="str">
        <f>IFERROR(__xludf.DUMMYFUNCTION("""COMPUTED_VALUE"""),"PE20")</f>
        <v>PE20</v>
      </c>
      <c r="K181" s="149" t="str">
        <f t="shared" si="3"/>
        <v>Pigeot	Hanna   ok   PE20</v>
      </c>
    </row>
    <row r="182" ht="15.75" customHeight="1">
      <c r="A182" s="149" t="str">
        <f>IFERROR(__xludf.DUMMYFUNCTION("""COMPUTED_VALUE"""),"PINET CHANTAL")</f>
        <v>PINET CHANTAL</v>
      </c>
      <c r="B182" s="142" t="str">
        <f>IFERROR(__xludf.DUMMYFUNCTION("""COMPUTED_VALUE"""),"PA60  ")</f>
        <v>PA60  </v>
      </c>
      <c r="C182" s="151">
        <f>IFERROR(__xludf.DUMMYFUNCTION("""COMPUTED_VALUE"""),46120.0)</f>
        <v>46120</v>
      </c>
      <c r="D182" s="143" t="str">
        <f t="shared" si="1"/>
        <v>ok</v>
      </c>
      <c r="E182" s="149" t="str">
        <f t="shared" si="2"/>
        <v>PINET CHANTAL   ok</v>
      </c>
      <c r="F182" s="149" t="b">
        <f>IFERROR(__xludf.DUMMYFUNCTION("""COMPUTED_VALUE"""),TRUE)</f>
        <v>1</v>
      </c>
      <c r="G182" s="149" t="b">
        <f>IFERROR(__xludf.DUMMYFUNCTION("""COMPUTED_VALUE"""),TRUE)</f>
        <v>1</v>
      </c>
      <c r="H182" s="145" t="str">
        <f>IFERROR(__xludf.DUMMYFUNCTION("""COMPUTED_VALUE"""),"PA60  ")</f>
        <v>PA60  </v>
      </c>
      <c r="K182" s="149" t="str">
        <f t="shared" si="3"/>
        <v>PINET CHANTAL   ok   PA60  </v>
      </c>
    </row>
    <row r="183" ht="15.75" customHeight="1">
      <c r="A183" s="149" t="str">
        <f>IFERROR(__xludf.DUMMYFUNCTION("""COMPUTED_VALUE"""),"POCHARD MARTIAL")</f>
        <v>POCHARD MARTIAL</v>
      </c>
      <c r="B183" s="142" t="str">
        <f>IFERROR(__xludf.DUMMYFUNCTION("""COMPUTED_VALUE"""),"E4")</f>
        <v>E4</v>
      </c>
      <c r="C183" s="151">
        <f>IFERROR(__xludf.DUMMYFUNCTION("""COMPUTED_VALUE"""),45931.0)</f>
        <v>45931</v>
      </c>
      <c r="D183" s="143" t="str">
        <f t="shared" si="1"/>
        <v>ok</v>
      </c>
      <c r="E183" s="149" t="str">
        <f t="shared" si="2"/>
        <v>POCHARD MARTIAL   ok</v>
      </c>
      <c r="F183" s="149" t="b">
        <f>IFERROR(__xludf.DUMMYFUNCTION("""COMPUTED_VALUE"""),TRUE)</f>
        <v>1</v>
      </c>
      <c r="G183" s="149" t="b">
        <f>IFERROR(__xludf.DUMMYFUNCTION("""COMPUTED_VALUE"""),TRUE)</f>
        <v>1</v>
      </c>
      <c r="H183" s="145" t="str">
        <f>IFERROR(__xludf.DUMMYFUNCTION("""COMPUTED_VALUE"""),"E4")</f>
        <v>E4</v>
      </c>
      <c r="K183" s="149" t="str">
        <f t="shared" si="3"/>
        <v>POCHARD MARTIAL   ok   E4</v>
      </c>
    </row>
    <row r="184" ht="15.75" customHeight="1">
      <c r="A184" s="149" t="str">
        <f>IFERROR(__xludf.DUMMYFUNCTION("""COMPUTED_VALUE"""),"POGGI MARIN")</f>
        <v>POGGI MARIN</v>
      </c>
      <c r="B184" s="142" t="str">
        <f>IFERROR(__xludf.DUMMYFUNCTION("""COMPUTED_VALUE"""),"PE20")</f>
        <v>PE20</v>
      </c>
      <c r="C184" s="151">
        <f>IFERROR(__xludf.DUMMYFUNCTION("""COMPUTED_VALUE"""),46200.0)</f>
        <v>46200</v>
      </c>
      <c r="D184" s="143" t="str">
        <f t="shared" si="1"/>
        <v>ok</v>
      </c>
      <c r="E184" s="149" t="str">
        <f t="shared" si="2"/>
        <v>POGGI MARIN   ok</v>
      </c>
      <c r="F184" s="149" t="b">
        <f>IFERROR(__xludf.DUMMYFUNCTION("""COMPUTED_VALUE"""),TRUE)</f>
        <v>1</v>
      </c>
      <c r="G184" s="149" t="b">
        <f>IFERROR(__xludf.DUMMYFUNCTION("""COMPUTED_VALUE"""),TRUE)</f>
        <v>1</v>
      </c>
      <c r="H184" s="145" t="str">
        <f>IFERROR(__xludf.DUMMYFUNCTION("""COMPUTED_VALUE"""),"PE20")</f>
        <v>PE20</v>
      </c>
      <c r="K184" s="149" t="str">
        <f t="shared" si="3"/>
        <v>POGGI MARIN   ok   PE20</v>
      </c>
    </row>
    <row r="185" ht="15.75" customHeight="1">
      <c r="A185" s="149" t="str">
        <f>IFERROR(__xludf.DUMMYFUNCTION("""COMPUTED_VALUE"""),"POGGI Rene")</f>
        <v>POGGI Rene</v>
      </c>
      <c r="B185" s="142" t="str">
        <f>IFERROR(__xludf.DUMMYFUNCTION("""COMPUTED_VALUE"""),"PA60  ")</f>
        <v>PA60  </v>
      </c>
      <c r="C185" s="151">
        <f>IFERROR(__xludf.DUMMYFUNCTION("""COMPUTED_VALUE"""),45633.0)</f>
        <v>45633</v>
      </c>
      <c r="D185" s="143" t="str">
        <f t="shared" si="1"/>
        <v>ko</v>
      </c>
      <c r="E185" s="149" t="str">
        <f t="shared" si="2"/>
        <v>POGGI Rene   ko</v>
      </c>
      <c r="F185" s="149" t="b">
        <f>IFERROR(__xludf.DUMMYFUNCTION("""COMPUTED_VALUE"""),TRUE)</f>
        <v>1</v>
      </c>
      <c r="G185" s="149" t="b">
        <f>IFERROR(__xludf.DUMMYFUNCTION("""COMPUTED_VALUE"""),TRUE)</f>
        <v>1</v>
      </c>
      <c r="H185" s="145" t="str">
        <f>IFERROR(__xludf.DUMMYFUNCTION("""COMPUTED_VALUE"""),"PA60  ")</f>
        <v>PA60  </v>
      </c>
      <c r="K185" s="149" t="str">
        <f t="shared" si="3"/>
        <v>POGGI Rene   ko   PA60  </v>
      </c>
    </row>
    <row r="186" ht="15.75" customHeight="1">
      <c r="A186" s="149" t="str">
        <f>IFERROR(__xludf.DUMMYFUNCTION("""COMPUTED_VALUE"""),"POLIZZI BARTHELEMY")</f>
        <v>POLIZZI BARTHELEMY</v>
      </c>
      <c r="B186" s="142" t="str">
        <f>IFERROR(__xludf.DUMMYFUNCTION("""COMPUTED_VALUE"""),"E4")</f>
        <v>E4</v>
      </c>
      <c r="C186" s="151">
        <f>IFERROR(__xludf.DUMMYFUNCTION("""COMPUTED_VALUE"""),45910.0)</f>
        <v>45910</v>
      </c>
      <c r="D186" s="143" t="str">
        <f t="shared" si="1"/>
        <v>ko</v>
      </c>
      <c r="E186" s="149" t="str">
        <f t="shared" si="2"/>
        <v>POLIZZI BARTHELEMY   ko</v>
      </c>
      <c r="F186" s="149" t="b">
        <f>IFERROR(__xludf.DUMMYFUNCTION("""COMPUTED_VALUE"""),TRUE)</f>
        <v>1</v>
      </c>
      <c r="G186" s="149" t="b">
        <f>IFERROR(__xludf.DUMMYFUNCTION("""COMPUTED_VALUE"""),TRUE)</f>
        <v>1</v>
      </c>
      <c r="H186" s="145" t="str">
        <f>IFERROR(__xludf.DUMMYFUNCTION("""COMPUTED_VALUE"""),"E4")</f>
        <v>E4</v>
      </c>
      <c r="K186" s="149" t="str">
        <f t="shared" si="3"/>
        <v>POLIZZI BARTHELEMY   ko   E4</v>
      </c>
    </row>
    <row r="187" ht="15.75" customHeight="1">
      <c r="A187" s="149" t="str">
        <f>IFERROR(__xludf.DUMMYFUNCTION("""COMPUTED_VALUE"""),"POMERO Elsa")</f>
        <v>POMERO Elsa</v>
      </c>
      <c r="B187" s="142" t="str">
        <f>IFERROR(__xludf.DUMMYFUNCTION("""COMPUTED_VALUE"""),"PE20")</f>
        <v>PE20</v>
      </c>
      <c r="C187" s="151">
        <f>IFERROR(__xludf.DUMMYFUNCTION("""COMPUTED_VALUE"""),45918.0)</f>
        <v>45918</v>
      </c>
      <c r="D187" s="143" t="str">
        <f t="shared" si="1"/>
        <v>ko</v>
      </c>
      <c r="E187" s="149" t="str">
        <f t="shared" si="2"/>
        <v>POMERO Elsa   ko</v>
      </c>
      <c r="F187" s="149" t="b">
        <f>IFERROR(__xludf.DUMMYFUNCTION("""COMPUTED_VALUE"""),FALSE)</f>
        <v>0</v>
      </c>
      <c r="G187" s="149" t="b">
        <f>IFERROR(__xludf.DUMMYFUNCTION("""COMPUTED_VALUE"""),TRUE)</f>
        <v>1</v>
      </c>
      <c r="H187" s="145" t="str">
        <f>IFERROR(__xludf.DUMMYFUNCTION("""COMPUTED_VALUE"""),"PE20")</f>
        <v>PE20</v>
      </c>
      <c r="K187" s="149" t="str">
        <f t="shared" si="3"/>
        <v>POMERO Elsa   ko   PE20</v>
      </c>
    </row>
    <row r="188" ht="15.75" customHeight="1">
      <c r="A188" s="149" t="str">
        <f>IFERROR(__xludf.DUMMYFUNCTION("""COMPUTED_VALUE"""),"PRADERE CHRISTOPHE")</f>
        <v>PRADERE CHRISTOPHE</v>
      </c>
      <c r="B188" s="142" t="str">
        <f>IFERROR(__xludf.DUMMYFUNCTION("""COMPUTED_VALUE"""),"GP")</f>
        <v>GP</v>
      </c>
      <c r="C188" s="151">
        <f>IFERROR(__xludf.DUMMYFUNCTION("""COMPUTED_VALUE"""),45954.0)</f>
        <v>45954</v>
      </c>
      <c r="D188" s="143" t="str">
        <f t="shared" si="1"/>
        <v>ok</v>
      </c>
      <c r="E188" s="149" t="str">
        <f t="shared" si="2"/>
        <v>PRADERE CHRISTOPHE   ok</v>
      </c>
      <c r="F188" s="149" t="b">
        <f>IFERROR(__xludf.DUMMYFUNCTION("""COMPUTED_VALUE"""),TRUE)</f>
        <v>1</v>
      </c>
      <c r="G188" s="149" t="b">
        <f>IFERROR(__xludf.DUMMYFUNCTION("""COMPUTED_VALUE"""),TRUE)</f>
        <v>1</v>
      </c>
      <c r="H188" s="145" t="str">
        <f>IFERROR(__xludf.DUMMYFUNCTION("""COMPUTED_VALUE"""),"GP")</f>
        <v>GP</v>
      </c>
      <c r="K188" s="149" t="str">
        <f t="shared" si="3"/>
        <v>PRADERE CHRISTOPHE   ok   GP</v>
      </c>
    </row>
    <row r="189" ht="15.75" customHeight="1">
      <c r="A189" s="149" t="str">
        <f>IFERROR(__xludf.DUMMYFUNCTION("""COMPUTED_VALUE"""),"PRAULT SOLENE")</f>
        <v>PRAULT SOLENE</v>
      </c>
      <c r="B189" s="142" t="str">
        <f>IFERROR(__xludf.DUMMYFUNCTION("""COMPUTED_VALUE"""),"PA60  ")</f>
        <v>PA60  </v>
      </c>
      <c r="C189" s="151">
        <f>IFERROR(__xludf.DUMMYFUNCTION("""COMPUTED_VALUE"""),46218.0)</f>
        <v>46218</v>
      </c>
      <c r="D189" s="143" t="str">
        <f t="shared" si="1"/>
        <v>ok</v>
      </c>
      <c r="E189" s="149" t="str">
        <f t="shared" si="2"/>
        <v>PRAULT SOLENE   ok</v>
      </c>
      <c r="F189" s="149" t="b">
        <f>IFERROR(__xludf.DUMMYFUNCTION("""COMPUTED_VALUE"""),TRUE)</f>
        <v>1</v>
      </c>
      <c r="G189" s="149" t="b">
        <f>IFERROR(__xludf.DUMMYFUNCTION("""COMPUTED_VALUE"""),TRUE)</f>
        <v>1</v>
      </c>
      <c r="H189" s="145" t="str">
        <f>IFERROR(__xludf.DUMMYFUNCTION("""COMPUTED_VALUE"""),"PA60  ")</f>
        <v>PA60  </v>
      </c>
      <c r="K189" s="149" t="str">
        <f t="shared" si="3"/>
        <v>PRAULT SOLENE   ok   PA60  </v>
      </c>
    </row>
    <row r="190" ht="15.75" customHeight="1">
      <c r="A190" s="149" t="str">
        <f>IFERROR(__xludf.DUMMYFUNCTION("""COMPUTED_VALUE"""),"Pujas Robert")</f>
        <v>Pujas Robert</v>
      </c>
      <c r="B190" s="142" t="str">
        <f>IFERROR(__xludf.DUMMYFUNCTION("""COMPUTED_VALUE"""),"PE20")</f>
        <v>PE20</v>
      </c>
      <c r="C190" s="151">
        <f>IFERROR(__xludf.DUMMYFUNCTION("""COMPUTED_VALUE"""),45909.0)</f>
        <v>45909</v>
      </c>
      <c r="D190" s="143" t="str">
        <f t="shared" si="1"/>
        <v>ko</v>
      </c>
      <c r="E190" s="149" t="str">
        <f t="shared" si="2"/>
        <v>Pujas Robert   ko</v>
      </c>
      <c r="F190" s="149" t="b">
        <f>IFERROR(__xludf.DUMMYFUNCTION("""COMPUTED_VALUE"""),FALSE)</f>
        <v>0</v>
      </c>
      <c r="G190" s="149" t="b">
        <f>IFERROR(__xludf.DUMMYFUNCTION("""COMPUTED_VALUE"""),TRUE)</f>
        <v>1</v>
      </c>
      <c r="H190" s="145" t="str">
        <f>IFERROR(__xludf.DUMMYFUNCTION("""COMPUTED_VALUE"""),"PE20")</f>
        <v>PE20</v>
      </c>
      <c r="K190" s="149" t="str">
        <f t="shared" si="3"/>
        <v>Pujas Robert   ko   PE20</v>
      </c>
    </row>
    <row r="191" ht="15.75" customHeight="1">
      <c r="A191" s="149" t="str">
        <f>IFERROR(__xludf.DUMMYFUNCTION("""COMPUTED_VALUE"""),"PUONS	HERVE")</f>
        <v>PUONS	HERVE</v>
      </c>
      <c r="B191" s="142" t="str">
        <f>IFERROR(__xludf.DUMMYFUNCTION("""COMPUTED_VALUE"""),"PE20")</f>
        <v>PE20</v>
      </c>
      <c r="C191" s="151">
        <f>IFERROR(__xludf.DUMMYFUNCTION("""COMPUTED_VALUE"""),46059.0)</f>
        <v>46059</v>
      </c>
      <c r="D191" s="143" t="str">
        <f t="shared" si="1"/>
        <v>ok</v>
      </c>
      <c r="E191" s="149" t="str">
        <f t="shared" si="2"/>
        <v>PUONS	HERVE   ok</v>
      </c>
      <c r="F191" s="149" t="b">
        <f>IFERROR(__xludf.DUMMYFUNCTION("""COMPUTED_VALUE"""),FALSE)</f>
        <v>0</v>
      </c>
      <c r="G191" s="149" t="b">
        <f>IFERROR(__xludf.DUMMYFUNCTION("""COMPUTED_VALUE"""),TRUE)</f>
        <v>1</v>
      </c>
      <c r="H191" s="145" t="str">
        <f>IFERROR(__xludf.DUMMYFUNCTION("""COMPUTED_VALUE"""),"PE20")</f>
        <v>PE20</v>
      </c>
      <c r="K191" s="149" t="str">
        <f t="shared" si="3"/>
        <v>PUONS	HERVE   ok   PE20</v>
      </c>
    </row>
    <row r="192" ht="15.75" customHeight="1">
      <c r="A192" s="149" t="str">
        <f>IFERROR(__xludf.DUMMYFUNCTION("""COMPUTED_VALUE"""),"RAINAUT	OLIVIER")</f>
        <v>RAINAUT	OLIVIER</v>
      </c>
      <c r="B192" s="142" t="str">
        <f>IFERROR(__xludf.DUMMYFUNCTION("""COMPUTED_VALUE"""),"PE20")</f>
        <v>PE20</v>
      </c>
      <c r="C192" s="151">
        <f>IFERROR(__xludf.DUMMYFUNCTION("""COMPUTED_VALUE"""),46249.0)</f>
        <v>46249</v>
      </c>
      <c r="D192" s="143" t="str">
        <f t="shared" si="1"/>
        <v>ok</v>
      </c>
      <c r="E192" s="149" t="str">
        <f t="shared" si="2"/>
        <v>RAINAUT	OLIVIER   ok</v>
      </c>
      <c r="F192" s="149" t="b">
        <f>IFERROR(__xludf.DUMMYFUNCTION("""COMPUTED_VALUE"""),FALSE)</f>
        <v>0</v>
      </c>
      <c r="G192" s="149" t="b">
        <f>IFERROR(__xludf.DUMMYFUNCTION("""COMPUTED_VALUE"""),TRUE)</f>
        <v>1</v>
      </c>
      <c r="H192" s="145" t="str">
        <f>IFERROR(__xludf.DUMMYFUNCTION("""COMPUTED_VALUE"""),"PE20")</f>
        <v>PE20</v>
      </c>
      <c r="K192" s="149" t="str">
        <f t="shared" si="3"/>
        <v>RAINAUT	OLIVIER   ok   PE20</v>
      </c>
    </row>
    <row r="193" ht="15.75" customHeight="1">
      <c r="A193" s="149" t="str">
        <f>IFERROR(__xludf.DUMMYFUNCTION("""COMPUTED_VALUE"""),"RAINAUT Damien")</f>
        <v>RAINAUT Damien</v>
      </c>
      <c r="B193" s="142" t="str">
        <f>IFERROR(__xludf.DUMMYFUNCTION("""COMPUTED_VALUE"""),"GP")</f>
        <v>GP</v>
      </c>
      <c r="C193" s="151">
        <f>IFERROR(__xludf.DUMMYFUNCTION("""COMPUTED_VALUE"""),46232.0)</f>
        <v>46232</v>
      </c>
      <c r="D193" s="143" t="str">
        <f t="shared" si="1"/>
        <v>ok</v>
      </c>
      <c r="E193" s="149" t="str">
        <f t="shared" si="2"/>
        <v>RAINAUT Damien   ok</v>
      </c>
      <c r="F193" s="149" t="b">
        <f>IFERROR(__xludf.DUMMYFUNCTION("""COMPUTED_VALUE"""),FALSE)</f>
        <v>0</v>
      </c>
      <c r="G193" s="149" t="b">
        <f>IFERROR(__xludf.DUMMYFUNCTION("""COMPUTED_VALUE"""),TRUE)</f>
        <v>1</v>
      </c>
      <c r="H193" s="145" t="str">
        <f>IFERROR(__xludf.DUMMYFUNCTION("""COMPUTED_VALUE"""),"GP")</f>
        <v>GP</v>
      </c>
      <c r="K193" s="149" t="str">
        <f t="shared" si="3"/>
        <v>RAINAUT Damien   ok   GP</v>
      </c>
    </row>
    <row r="194" ht="15.75" customHeight="1">
      <c r="A194" s="149" t="str">
        <f>IFERROR(__xludf.DUMMYFUNCTION("""COMPUTED_VALUE"""),"RAMA YANN")</f>
        <v>RAMA YANN</v>
      </c>
      <c r="B194" s="142" t="str">
        <f>IFERROR(__xludf.DUMMYFUNCTION("""COMPUTED_VALUE"""),"E3")</f>
        <v>E3</v>
      </c>
      <c r="C194" s="151">
        <f>IFERROR(__xludf.DUMMYFUNCTION("""COMPUTED_VALUE"""),46171.0)</f>
        <v>46171</v>
      </c>
      <c r="D194" s="143" t="str">
        <f t="shared" si="1"/>
        <v>ok</v>
      </c>
      <c r="E194" s="149" t="str">
        <f t="shared" si="2"/>
        <v>RAMA YANN   ok</v>
      </c>
      <c r="F194" s="149" t="b">
        <f>IFERROR(__xludf.DUMMYFUNCTION("""COMPUTED_VALUE"""),TRUE)</f>
        <v>1</v>
      </c>
      <c r="G194" s="149" t="b">
        <f>IFERROR(__xludf.DUMMYFUNCTION("""COMPUTED_VALUE"""),TRUE)</f>
        <v>1</v>
      </c>
      <c r="H194" s="145" t="str">
        <f>IFERROR(__xludf.DUMMYFUNCTION("""COMPUTED_VALUE"""),"E3")</f>
        <v>E3</v>
      </c>
      <c r="K194" s="149" t="str">
        <f t="shared" si="3"/>
        <v>RAMA YANN   ok   E3</v>
      </c>
    </row>
    <row r="195" ht="15.75" customHeight="1">
      <c r="A195" s="149" t="str">
        <f>IFERROR(__xludf.DUMMYFUNCTION("""COMPUTED_VALUE"""),"RAUCH ANDRE")</f>
        <v>RAUCH ANDRE</v>
      </c>
      <c r="B195" s="142" t="str">
        <f>IFERROR(__xludf.DUMMYFUNCTION("""COMPUTED_VALUE"""),"E3")</f>
        <v>E3</v>
      </c>
      <c r="C195" s="151">
        <f>IFERROR(__xludf.DUMMYFUNCTION("""COMPUTED_VALUE"""),45800.0)</f>
        <v>45800</v>
      </c>
      <c r="D195" s="143" t="str">
        <f t="shared" si="1"/>
        <v>ko</v>
      </c>
      <c r="E195" s="149" t="str">
        <f t="shared" si="2"/>
        <v>RAUCH ANDRE   ko</v>
      </c>
      <c r="F195" s="149" t="b">
        <f>IFERROR(__xludf.DUMMYFUNCTION("""COMPUTED_VALUE"""),TRUE)</f>
        <v>1</v>
      </c>
      <c r="G195" s="149" t="b">
        <f>IFERROR(__xludf.DUMMYFUNCTION("""COMPUTED_VALUE"""),TRUE)</f>
        <v>1</v>
      </c>
      <c r="H195" s="145" t="str">
        <f>IFERROR(__xludf.DUMMYFUNCTION("""COMPUTED_VALUE"""),"E3")</f>
        <v>E3</v>
      </c>
      <c r="K195" s="149" t="str">
        <f t="shared" si="3"/>
        <v>RAUCH ANDRE   ko   E3</v>
      </c>
    </row>
    <row r="196" ht="15.75" customHeight="1">
      <c r="A196" s="149" t="str">
        <f>IFERROR(__xludf.DUMMYFUNCTION("""COMPUTED_VALUE"""),"RAVIX Jules")</f>
        <v>RAVIX Jules</v>
      </c>
      <c r="B196" s="142" t="str">
        <f>IFERROR(__xludf.DUMMYFUNCTION("""COMPUTED_VALUE"""),"PE20")</f>
        <v>PE20</v>
      </c>
      <c r="C196" s="151">
        <f>IFERROR(__xludf.DUMMYFUNCTION("""COMPUTED_VALUE"""),46204.0)</f>
        <v>46204</v>
      </c>
      <c r="D196" s="143" t="str">
        <f t="shared" si="1"/>
        <v>ok</v>
      </c>
      <c r="E196" s="149" t="str">
        <f t="shared" si="2"/>
        <v>RAVIX Jules   ok</v>
      </c>
      <c r="F196" s="149" t="b">
        <f>IFERROR(__xludf.DUMMYFUNCTION("""COMPUTED_VALUE"""),FALSE)</f>
        <v>0</v>
      </c>
      <c r="G196" s="149" t="b">
        <f>IFERROR(__xludf.DUMMYFUNCTION("""COMPUTED_VALUE"""),TRUE)</f>
        <v>1</v>
      </c>
      <c r="H196" s="145" t="str">
        <f>IFERROR(__xludf.DUMMYFUNCTION("""COMPUTED_VALUE"""),"PE20")</f>
        <v>PE20</v>
      </c>
      <c r="K196" s="149" t="str">
        <f t="shared" si="3"/>
        <v>RAVIX Jules   ok   PE20</v>
      </c>
    </row>
    <row r="197" ht="15.75" customHeight="1">
      <c r="A197" s="149" t="str">
        <f>IFERROR(__xludf.DUMMYFUNCTION("""COMPUTED_VALUE"""),"RAVIX Marius")</f>
        <v>RAVIX Marius</v>
      </c>
      <c r="B197" s="142" t="str">
        <f>IFERROR(__xludf.DUMMYFUNCTION("""COMPUTED_VALUE"""),"BZ")</f>
        <v>BZ</v>
      </c>
      <c r="C197" s="151">
        <f>IFERROR(__xludf.DUMMYFUNCTION("""COMPUTED_VALUE"""),46204.0)</f>
        <v>46204</v>
      </c>
      <c r="D197" s="143" t="str">
        <f t="shared" si="1"/>
        <v>ok</v>
      </c>
      <c r="E197" s="149" t="str">
        <f t="shared" si="2"/>
        <v>RAVIX Marius   ok</v>
      </c>
      <c r="F197" s="149" t="b">
        <f>IFERROR(__xludf.DUMMYFUNCTION("""COMPUTED_VALUE"""),FALSE)</f>
        <v>0</v>
      </c>
      <c r="G197" s="149" t="b">
        <f>IFERROR(__xludf.DUMMYFUNCTION("""COMPUTED_VALUE"""),TRUE)</f>
        <v>1</v>
      </c>
      <c r="H197" s="145" t="str">
        <f>IFERROR(__xludf.DUMMYFUNCTION("""COMPUTED_VALUE"""),"BZ")</f>
        <v>BZ</v>
      </c>
      <c r="K197" s="149" t="str">
        <f t="shared" si="3"/>
        <v>RAVIX Marius   ok   BZ</v>
      </c>
    </row>
    <row r="198" ht="15.75" customHeight="1">
      <c r="A198" s="149" t="str">
        <f>IFERROR(__xludf.DUMMYFUNCTION("""COMPUTED_VALUE"""),"RAYMONDIE ROMAIN")</f>
        <v>RAYMONDIE ROMAIN</v>
      </c>
      <c r="B198" s="142" t="str">
        <f>IFERROR(__xludf.DUMMYFUNCTION("""COMPUTED_VALUE"""),"PE40 PA20")</f>
        <v>PE40 PA20</v>
      </c>
      <c r="C198" s="151">
        <f>IFERROR(__xludf.DUMMYFUNCTION("""COMPUTED_VALUE"""),46224.0)</f>
        <v>46224</v>
      </c>
      <c r="D198" s="143" t="str">
        <f t="shared" si="1"/>
        <v>ok</v>
      </c>
      <c r="E198" s="149" t="str">
        <f t="shared" si="2"/>
        <v>RAYMONDIE ROMAIN   ok</v>
      </c>
      <c r="F198" s="149" t="b">
        <f>IFERROR(__xludf.DUMMYFUNCTION("""COMPUTED_VALUE"""),TRUE)</f>
        <v>1</v>
      </c>
      <c r="G198" s="149" t="b">
        <f>IFERROR(__xludf.DUMMYFUNCTION("""COMPUTED_VALUE"""),TRUE)</f>
        <v>1</v>
      </c>
      <c r="H198" s="145" t="str">
        <f>IFERROR(__xludf.DUMMYFUNCTION("""COMPUTED_VALUE"""),"PE40 PA20")</f>
        <v>PE40 PA20</v>
      </c>
      <c r="K198" s="149" t="str">
        <f t="shared" si="3"/>
        <v>RAYMONDIE ROMAIN   ok   PE40 PA20</v>
      </c>
    </row>
    <row r="199" ht="15.75" customHeight="1">
      <c r="A199" s="149" t="str">
        <f>IFERROR(__xludf.DUMMYFUNCTION("""COMPUTED_VALUE"""),"RELIGIEUX MYRIAM")</f>
        <v>RELIGIEUX MYRIAM</v>
      </c>
      <c r="B199" s="142" t="str">
        <f>IFERROR(__xludf.DUMMYFUNCTION("""COMPUTED_VALUE"""),"PE40")</f>
        <v>PE40</v>
      </c>
      <c r="C199" s="151">
        <f>IFERROR(__xludf.DUMMYFUNCTION("""COMPUTED_VALUE"""),46178.0)</f>
        <v>46178</v>
      </c>
      <c r="D199" s="143" t="str">
        <f t="shared" si="1"/>
        <v>ok</v>
      </c>
      <c r="E199" s="149" t="str">
        <f t="shared" si="2"/>
        <v>RELIGIEUX MYRIAM   ok</v>
      </c>
      <c r="F199" s="149" t="b">
        <f>IFERROR(__xludf.DUMMYFUNCTION("""COMPUTED_VALUE"""),TRUE)</f>
        <v>1</v>
      </c>
      <c r="G199" s="149" t="b">
        <f>IFERROR(__xludf.DUMMYFUNCTION("""COMPUTED_VALUE"""),TRUE)</f>
        <v>1</v>
      </c>
      <c r="H199" s="145" t="str">
        <f>IFERROR(__xludf.DUMMYFUNCTION("""COMPUTED_VALUE"""),"PE40")</f>
        <v>PE40</v>
      </c>
      <c r="K199" s="149" t="str">
        <f t="shared" si="3"/>
        <v>RELIGIEUX MYRIAM   ok   PE40</v>
      </c>
    </row>
    <row r="200" ht="15.75" customHeight="1">
      <c r="A200" s="149" t="str">
        <f>IFERROR(__xludf.DUMMYFUNCTION("""COMPUTED_VALUE"""),"RINGWALD OLIVIER")</f>
        <v>RINGWALD OLIVIER</v>
      </c>
      <c r="B200" s="142" t="str">
        <f>IFERROR(__xludf.DUMMYFUNCTION("""COMPUTED_VALUE"""),"E4")</f>
        <v>E4</v>
      </c>
      <c r="C200" s="151">
        <f>IFERROR(__xludf.DUMMYFUNCTION("""COMPUTED_VALUE"""),46060.0)</f>
        <v>46060</v>
      </c>
      <c r="D200" s="143" t="str">
        <f t="shared" si="1"/>
        <v>ok</v>
      </c>
      <c r="E200" s="149" t="str">
        <f t="shared" si="2"/>
        <v>RINGWALD OLIVIER   ok</v>
      </c>
      <c r="F200" s="149" t="b">
        <f>IFERROR(__xludf.DUMMYFUNCTION("""COMPUTED_VALUE"""),TRUE)</f>
        <v>1</v>
      </c>
      <c r="G200" s="149" t="b">
        <f>IFERROR(__xludf.DUMMYFUNCTION("""COMPUTED_VALUE"""),TRUE)</f>
        <v>1</v>
      </c>
      <c r="H200" s="145" t="str">
        <f>IFERROR(__xludf.DUMMYFUNCTION("""COMPUTED_VALUE"""),"E4")</f>
        <v>E4</v>
      </c>
      <c r="K200" s="149" t="str">
        <f t="shared" si="3"/>
        <v>RINGWALD OLIVIER   ok   E4</v>
      </c>
    </row>
    <row r="201" ht="15.75" customHeight="1">
      <c r="A201" s="149" t="str">
        <f>IFERROR(__xludf.DUMMYFUNCTION("""COMPUTED_VALUE"""),"RISSO SEBASTIEN")</f>
        <v>RISSO SEBASTIEN</v>
      </c>
      <c r="B201" s="142" t="str">
        <f>IFERROR(__xludf.DUMMYFUNCTION("""COMPUTED_VALUE"""),"GP")</f>
        <v>GP</v>
      </c>
      <c r="C201" s="151">
        <f>IFERROR(__xludf.DUMMYFUNCTION("""COMPUTED_VALUE"""),45969.0)</f>
        <v>45969</v>
      </c>
      <c r="D201" s="143" t="str">
        <f t="shared" si="1"/>
        <v>ok</v>
      </c>
      <c r="E201" s="149" t="str">
        <f t="shared" si="2"/>
        <v>RISSO SEBASTIEN   ok</v>
      </c>
      <c r="F201" s="149" t="b">
        <f>IFERROR(__xludf.DUMMYFUNCTION("""COMPUTED_VALUE"""),TRUE)</f>
        <v>1</v>
      </c>
      <c r="G201" s="149" t="b">
        <f>IFERROR(__xludf.DUMMYFUNCTION("""COMPUTED_VALUE"""),TRUE)</f>
        <v>1</v>
      </c>
      <c r="H201" s="145" t="str">
        <f>IFERROR(__xludf.DUMMYFUNCTION("""COMPUTED_VALUE"""),"GP")</f>
        <v>GP</v>
      </c>
      <c r="K201" s="149" t="str">
        <f t="shared" si="3"/>
        <v>RISSO SEBASTIEN   ok   GP</v>
      </c>
    </row>
    <row r="202" ht="15.75" customHeight="1">
      <c r="A202" s="149" t="str">
        <f>IFERROR(__xludf.DUMMYFUNCTION("""COMPUTED_VALUE"""),"ROLLAND HUGO")</f>
        <v>ROLLAND HUGO</v>
      </c>
      <c r="B202" s="142" t="str">
        <f>IFERROR(__xludf.DUMMYFUNCTION("""COMPUTED_VALUE"""),"PE40 PA20")</f>
        <v>PE40 PA20</v>
      </c>
      <c r="C202" s="151">
        <f>IFERROR(__xludf.DUMMYFUNCTION("""COMPUTED_VALUE"""),46220.0)</f>
        <v>46220</v>
      </c>
      <c r="D202" s="143" t="str">
        <f t="shared" si="1"/>
        <v>ok</v>
      </c>
      <c r="E202" s="149" t="str">
        <f t="shared" si="2"/>
        <v>ROLLAND HUGO   ok</v>
      </c>
      <c r="F202" s="149" t="b">
        <f>IFERROR(__xludf.DUMMYFUNCTION("""COMPUTED_VALUE"""),TRUE)</f>
        <v>1</v>
      </c>
      <c r="G202" s="149" t="b">
        <f>IFERROR(__xludf.DUMMYFUNCTION("""COMPUTED_VALUE"""),TRUE)</f>
        <v>1</v>
      </c>
      <c r="H202" s="145" t="str">
        <f>IFERROR(__xludf.DUMMYFUNCTION("""COMPUTED_VALUE"""),"PE40 PA20")</f>
        <v>PE40 PA20</v>
      </c>
      <c r="K202" s="149" t="str">
        <f t="shared" si="3"/>
        <v>ROLLAND HUGO   ok   PE40 PA20</v>
      </c>
    </row>
    <row r="203" ht="15.75" customHeight="1">
      <c r="A203" s="149" t="str">
        <f>IFERROR(__xludf.DUMMYFUNCTION("""COMPUTED_VALUE"""),"Rollet Agnes")</f>
        <v>Rollet Agnes</v>
      </c>
      <c r="B203" s="142" t="str">
        <f>IFERROR(__xludf.DUMMYFUNCTION("""COMPUTED_VALUE"""),"PE20")</f>
        <v>PE20</v>
      </c>
      <c r="C203" s="151">
        <f>IFERROR(__xludf.DUMMYFUNCTION("""COMPUTED_VALUE"""),45953.0)</f>
        <v>45953</v>
      </c>
      <c r="D203" s="143" t="str">
        <f t="shared" si="1"/>
        <v>ok</v>
      </c>
      <c r="E203" s="149" t="str">
        <f t="shared" si="2"/>
        <v>Rollet Agnes   ok</v>
      </c>
      <c r="F203" s="149" t="b">
        <f>IFERROR(__xludf.DUMMYFUNCTION("""COMPUTED_VALUE"""),FALSE)</f>
        <v>0</v>
      </c>
      <c r="G203" s="149" t="b">
        <f>IFERROR(__xludf.DUMMYFUNCTION("""COMPUTED_VALUE"""),TRUE)</f>
        <v>1</v>
      </c>
      <c r="H203" s="145" t="str">
        <f>IFERROR(__xludf.DUMMYFUNCTION("""COMPUTED_VALUE"""),"PE20")</f>
        <v>PE20</v>
      </c>
      <c r="K203" s="149" t="str">
        <f t="shared" si="3"/>
        <v>Rollet Agnes   ok   PE20</v>
      </c>
    </row>
    <row r="204" ht="15.75" customHeight="1">
      <c r="A204" s="149" t="str">
        <f>IFERROR(__xludf.DUMMYFUNCTION("""COMPUTED_VALUE"""),"ROSE Nina")</f>
        <v>ROSE Nina</v>
      </c>
      <c r="B204" s="142" t="str">
        <f>IFERROR(__xludf.DUMMYFUNCTION("""COMPUTED_VALUE"""),"PE20")</f>
        <v>PE20</v>
      </c>
      <c r="C204" s="151">
        <f>IFERROR(__xludf.DUMMYFUNCTION("""COMPUTED_VALUE"""),46148.0)</f>
        <v>46148</v>
      </c>
      <c r="D204" s="143" t="str">
        <f t="shared" si="1"/>
        <v>ok</v>
      </c>
      <c r="E204" s="149" t="str">
        <f t="shared" si="2"/>
        <v>ROSE Nina   ok</v>
      </c>
      <c r="F204" s="149" t="b">
        <f>IFERROR(__xludf.DUMMYFUNCTION("""COMPUTED_VALUE"""),FALSE)</f>
        <v>0</v>
      </c>
      <c r="G204" s="149" t="b">
        <f>IFERROR(__xludf.DUMMYFUNCTION("""COMPUTED_VALUE"""),TRUE)</f>
        <v>1</v>
      </c>
      <c r="H204" s="145" t="str">
        <f>IFERROR(__xludf.DUMMYFUNCTION("""COMPUTED_VALUE"""),"PE20")</f>
        <v>PE20</v>
      </c>
      <c r="K204" s="149" t="str">
        <f t="shared" si="3"/>
        <v>ROSE Nina   ok   PE20</v>
      </c>
    </row>
    <row r="205" ht="15.75" customHeight="1">
      <c r="A205" s="149" t="str">
        <f>IFERROR(__xludf.DUMMYFUNCTION("""COMPUTED_VALUE"""),"ROTHACKER CATHERINE")</f>
        <v>ROTHACKER CATHERINE</v>
      </c>
      <c r="B205" s="142" t="str">
        <f>IFERROR(__xludf.DUMMYFUNCTION("""COMPUTED_VALUE"""),"E3")</f>
        <v>E3</v>
      </c>
      <c r="C205" s="151">
        <f>IFERROR(__xludf.DUMMYFUNCTION("""COMPUTED_VALUE"""),45933.0)</f>
        <v>45933</v>
      </c>
      <c r="D205" s="143" t="str">
        <f t="shared" si="1"/>
        <v>ok</v>
      </c>
      <c r="E205" s="149" t="str">
        <f t="shared" si="2"/>
        <v>ROTHACKER CATHERINE   ok</v>
      </c>
      <c r="F205" s="149" t="b">
        <f>IFERROR(__xludf.DUMMYFUNCTION("""COMPUTED_VALUE"""),TRUE)</f>
        <v>1</v>
      </c>
      <c r="G205" s="149" t="b">
        <f>IFERROR(__xludf.DUMMYFUNCTION("""COMPUTED_VALUE"""),TRUE)</f>
        <v>1</v>
      </c>
      <c r="H205" s="145" t="str">
        <f>IFERROR(__xludf.DUMMYFUNCTION("""COMPUTED_VALUE"""),"E3")</f>
        <v>E3</v>
      </c>
      <c r="K205" s="149" t="str">
        <f t="shared" si="3"/>
        <v>ROTHACKER CATHERINE   ok   E3</v>
      </c>
    </row>
    <row r="206" ht="15.75" customHeight="1">
      <c r="A206" s="149" t="str">
        <f>IFERROR(__xludf.DUMMYFUNCTION("""COMPUTED_VALUE"""),"ROUBAUD Estelle")</f>
        <v>ROUBAUD Estelle</v>
      </c>
      <c r="B206" s="142" t="str">
        <f>IFERROR(__xludf.DUMMYFUNCTION("""COMPUTED_VALUE"""),"PE20")</f>
        <v>PE20</v>
      </c>
      <c r="C206" s="151">
        <f>IFERROR(__xludf.DUMMYFUNCTION("""COMPUTED_VALUE"""),46191.0)</f>
        <v>46191</v>
      </c>
      <c r="D206" s="143" t="str">
        <f t="shared" si="1"/>
        <v>ok</v>
      </c>
      <c r="E206" s="149" t="str">
        <f t="shared" si="2"/>
        <v>ROUBAUD Estelle   ok</v>
      </c>
      <c r="F206" s="149" t="b">
        <f>IFERROR(__xludf.DUMMYFUNCTION("""COMPUTED_VALUE"""),FALSE)</f>
        <v>0</v>
      </c>
      <c r="G206" s="149" t="b">
        <f>IFERROR(__xludf.DUMMYFUNCTION("""COMPUTED_VALUE"""),TRUE)</f>
        <v>1</v>
      </c>
      <c r="H206" s="145" t="str">
        <f>IFERROR(__xludf.DUMMYFUNCTION("""COMPUTED_VALUE"""),"PE20")</f>
        <v>PE20</v>
      </c>
      <c r="K206" s="149" t="str">
        <f t="shared" si="3"/>
        <v>ROUBAUD Estelle   ok   PE20</v>
      </c>
    </row>
    <row r="207" ht="15.75" customHeight="1">
      <c r="A207" s="149" t="str">
        <f>IFERROR(__xludf.DUMMYFUNCTION("""COMPUTED_VALUE"""),"ROUSSEL BERTRAND")</f>
        <v>ROUSSEL BERTRAND</v>
      </c>
      <c r="B207" s="142" t="str">
        <f>IFERROR(__xludf.DUMMYFUNCTION("""COMPUTED_VALUE"""),"PA60  ")</f>
        <v>PA60  </v>
      </c>
      <c r="C207" s="151">
        <f>IFERROR(__xludf.DUMMYFUNCTION("""COMPUTED_VALUE"""),46193.0)</f>
        <v>46193</v>
      </c>
      <c r="D207" s="143" t="str">
        <f t="shared" si="1"/>
        <v>ok</v>
      </c>
      <c r="E207" s="149" t="str">
        <f t="shared" si="2"/>
        <v>ROUSSEL BERTRAND   ok</v>
      </c>
      <c r="F207" s="149" t="b">
        <f>IFERROR(__xludf.DUMMYFUNCTION("""COMPUTED_VALUE"""),TRUE)</f>
        <v>1</v>
      </c>
      <c r="G207" s="149" t="b">
        <f>IFERROR(__xludf.DUMMYFUNCTION("""COMPUTED_VALUE"""),TRUE)</f>
        <v>1</v>
      </c>
      <c r="H207" s="145" t="str">
        <f>IFERROR(__xludf.DUMMYFUNCTION("""COMPUTED_VALUE"""),"PA60  ")</f>
        <v>PA60  </v>
      </c>
      <c r="K207" s="149" t="str">
        <f t="shared" si="3"/>
        <v>ROUSSEL BERTRAND   ok   PA60  </v>
      </c>
    </row>
    <row r="208" ht="15.75" customHeight="1">
      <c r="A208" s="149" t="str">
        <f>IFERROR(__xludf.DUMMYFUNCTION("""COMPUTED_VALUE"""),"SACHOT BENJAMIN")</f>
        <v>SACHOT BENJAMIN</v>
      </c>
      <c r="B208" s="142" t="str">
        <f>IFERROR(__xludf.DUMMYFUNCTION("""COMPUTED_VALUE"""),"PE40")</f>
        <v>PE40</v>
      </c>
      <c r="C208" s="151">
        <f>IFERROR(__xludf.DUMMYFUNCTION("""COMPUTED_VALUE"""),46088.0)</f>
        <v>46088</v>
      </c>
      <c r="D208" s="143" t="str">
        <f t="shared" si="1"/>
        <v>ok</v>
      </c>
      <c r="E208" s="149" t="str">
        <f t="shared" si="2"/>
        <v>SACHOT BENJAMIN   ok</v>
      </c>
      <c r="F208" s="149" t="b">
        <f>IFERROR(__xludf.DUMMYFUNCTION("""COMPUTED_VALUE"""),FALSE)</f>
        <v>0</v>
      </c>
      <c r="G208" s="149" t="b">
        <f>IFERROR(__xludf.DUMMYFUNCTION("""COMPUTED_VALUE"""),TRUE)</f>
        <v>1</v>
      </c>
      <c r="H208" s="145" t="str">
        <f>IFERROR(__xludf.DUMMYFUNCTION("""COMPUTED_VALUE"""),"PE40")</f>
        <v>PE40</v>
      </c>
      <c r="K208" s="149" t="str">
        <f t="shared" si="3"/>
        <v>SACHOT BENJAMIN   ok   PE40</v>
      </c>
    </row>
    <row r="209" ht="15.75" customHeight="1">
      <c r="A209" s="149" t="str">
        <f>IFERROR(__xludf.DUMMYFUNCTION("""COMPUTED_VALUE"""),"SCHIAVON ANNE")</f>
        <v>SCHIAVON ANNE</v>
      </c>
      <c r="B209" s="142" t="str">
        <f>IFERROR(__xludf.DUMMYFUNCTION("""COMPUTED_VALUE"""),"PE40")</f>
        <v>PE40</v>
      </c>
      <c r="C209" s="151">
        <f>IFERROR(__xludf.DUMMYFUNCTION("""COMPUTED_VALUE"""),46268.0)</f>
        <v>46268</v>
      </c>
      <c r="D209" s="143" t="str">
        <f t="shared" si="1"/>
        <v>ok</v>
      </c>
      <c r="E209" s="149" t="str">
        <f t="shared" si="2"/>
        <v>SCHIAVON ANNE   ok</v>
      </c>
      <c r="F209" s="149" t="b">
        <f>IFERROR(__xludf.DUMMYFUNCTION("""COMPUTED_VALUE"""),TRUE)</f>
        <v>1</v>
      </c>
      <c r="G209" s="149" t="b">
        <f>IFERROR(__xludf.DUMMYFUNCTION("""COMPUTED_VALUE"""),TRUE)</f>
        <v>1</v>
      </c>
      <c r="H209" s="145" t="str">
        <f>IFERROR(__xludf.DUMMYFUNCTION("""COMPUTED_VALUE"""),"PE40")</f>
        <v>PE40</v>
      </c>
      <c r="K209" s="149" t="str">
        <f t="shared" si="3"/>
        <v>SCHIAVON ANNE   ok   PE40</v>
      </c>
    </row>
    <row r="210" ht="15.75" customHeight="1">
      <c r="A210" s="149" t="str">
        <f>IFERROR(__xludf.DUMMYFUNCTION("""COMPUTED_VALUE"""),"SERPIERI DIDIER")</f>
        <v>SERPIERI DIDIER</v>
      </c>
      <c r="B210" s="142" t="str">
        <f>IFERROR(__xludf.DUMMYFUNCTION("""COMPUTED_VALUE"""),"E2 P5")</f>
        <v>E2 P5</v>
      </c>
      <c r="C210" s="151">
        <f>IFERROR(__xludf.DUMMYFUNCTION("""COMPUTED_VALUE"""),45901.0)</f>
        <v>45901</v>
      </c>
      <c r="D210" s="143" t="str">
        <f t="shared" si="1"/>
        <v>ko</v>
      </c>
      <c r="E210" s="149" t="str">
        <f t="shared" si="2"/>
        <v>SERPIERI DIDIER   ko</v>
      </c>
      <c r="F210" s="149" t="b">
        <f>IFERROR(__xludf.DUMMYFUNCTION("""COMPUTED_VALUE"""),FALSE)</f>
        <v>0</v>
      </c>
      <c r="G210" s="149" t="b">
        <f>IFERROR(__xludf.DUMMYFUNCTION("""COMPUTED_VALUE"""),TRUE)</f>
        <v>1</v>
      </c>
      <c r="H210" s="145" t="str">
        <f>IFERROR(__xludf.DUMMYFUNCTION("""COMPUTED_VALUE"""),"E2 P5")</f>
        <v>E2 P5</v>
      </c>
      <c r="K210" s="149" t="str">
        <f t="shared" si="3"/>
        <v>SERPIERI DIDIER   ko   E2 P5</v>
      </c>
    </row>
    <row r="211" ht="15.75" customHeight="1">
      <c r="A211" s="149" t="str">
        <f>IFERROR(__xludf.DUMMYFUNCTION("""COMPUTED_VALUE"""),"SERVELLA CLAIRE")</f>
        <v>SERVELLA CLAIRE</v>
      </c>
      <c r="B211" s="142" t="str">
        <f>IFERROR(__xludf.DUMMYFUNCTION("""COMPUTED_VALUE"""),"PA60 E1")</f>
        <v>PA60 E1</v>
      </c>
      <c r="C211" s="151">
        <f>IFERROR(__xludf.DUMMYFUNCTION("""COMPUTED_VALUE"""),45996.0)</f>
        <v>45996</v>
      </c>
      <c r="D211" s="143" t="str">
        <f t="shared" si="1"/>
        <v>ok</v>
      </c>
      <c r="E211" s="149" t="str">
        <f t="shared" si="2"/>
        <v>SERVELLA CLAIRE   ok</v>
      </c>
      <c r="F211" s="149" t="b">
        <f>IFERROR(__xludf.DUMMYFUNCTION("""COMPUTED_VALUE"""),TRUE)</f>
        <v>1</v>
      </c>
      <c r="G211" s="149" t="b">
        <f>IFERROR(__xludf.DUMMYFUNCTION("""COMPUTED_VALUE"""),TRUE)</f>
        <v>1</v>
      </c>
      <c r="H211" s="145" t="str">
        <f>IFERROR(__xludf.DUMMYFUNCTION("""COMPUTED_VALUE"""),"PA60 E1")</f>
        <v>PA60 E1</v>
      </c>
      <c r="K211" s="149" t="str">
        <f t="shared" si="3"/>
        <v>SERVELLA CLAIRE   ok   PA60 E1</v>
      </c>
    </row>
    <row r="212" ht="15.75" customHeight="1">
      <c r="A212" s="149" t="str">
        <f>IFERROR(__xludf.DUMMYFUNCTION("""COMPUTED_VALUE"""),"SICARD MATEU Enzo")</f>
        <v>SICARD MATEU Enzo</v>
      </c>
      <c r="B212" s="142" t="str">
        <f>IFERROR(__xludf.DUMMYFUNCTION("""COMPUTED_VALUE"""),"PE20")</f>
        <v>PE20</v>
      </c>
      <c r="C212" s="151">
        <f>IFERROR(__xludf.DUMMYFUNCTION("""COMPUTED_VALUE"""),46231.0)</f>
        <v>46231</v>
      </c>
      <c r="D212" s="143" t="str">
        <f t="shared" si="1"/>
        <v>ok</v>
      </c>
      <c r="E212" s="149" t="str">
        <f t="shared" si="2"/>
        <v>SICARD MATEU Enzo   ok</v>
      </c>
      <c r="F212" s="149" t="b">
        <f>IFERROR(__xludf.DUMMYFUNCTION("""COMPUTED_VALUE"""),FALSE)</f>
        <v>0</v>
      </c>
      <c r="G212" s="149" t="b">
        <f>IFERROR(__xludf.DUMMYFUNCTION("""COMPUTED_VALUE"""),TRUE)</f>
        <v>1</v>
      </c>
      <c r="H212" s="145" t="str">
        <f>IFERROR(__xludf.DUMMYFUNCTION("""COMPUTED_VALUE"""),"PE20")</f>
        <v>PE20</v>
      </c>
      <c r="K212" s="149" t="str">
        <f t="shared" si="3"/>
        <v>SICARD MATEU Enzo   ok   PE20</v>
      </c>
    </row>
    <row r="213" ht="15.75" customHeight="1">
      <c r="A213" s="149" t="str">
        <f>IFERROR(__xludf.DUMMYFUNCTION("""COMPUTED_VALUE"""),"SILBER FREDERIQUE")</f>
        <v>SILBER FREDERIQUE</v>
      </c>
      <c r="B213" s="142" t="str">
        <f>IFERROR(__xludf.DUMMYFUNCTION("""COMPUTED_VALUE"""),"PA60  ")</f>
        <v>PA60  </v>
      </c>
      <c r="C213" s="151">
        <f>IFERROR(__xludf.DUMMYFUNCTION("""COMPUTED_VALUE"""),46128.0)</f>
        <v>46128</v>
      </c>
      <c r="D213" s="143" t="str">
        <f t="shared" si="1"/>
        <v>ok</v>
      </c>
      <c r="E213" s="149" t="str">
        <f t="shared" si="2"/>
        <v>SILBER FREDERIQUE   ok</v>
      </c>
      <c r="F213" s="149" t="b">
        <f>IFERROR(__xludf.DUMMYFUNCTION("""COMPUTED_VALUE"""),TRUE)</f>
        <v>1</v>
      </c>
      <c r="G213" s="149" t="b">
        <f>IFERROR(__xludf.DUMMYFUNCTION("""COMPUTED_VALUE"""),TRUE)</f>
        <v>1</v>
      </c>
      <c r="H213" s="145" t="str">
        <f>IFERROR(__xludf.DUMMYFUNCTION("""COMPUTED_VALUE"""),"PA60  ")</f>
        <v>PA60  </v>
      </c>
      <c r="K213" s="149" t="str">
        <f t="shared" si="3"/>
        <v>SILBER FREDERIQUE   ok   PA60  </v>
      </c>
    </row>
    <row r="214" ht="15.75" customHeight="1">
      <c r="A214" s="149" t="str">
        <f>IFERROR(__xludf.DUMMYFUNCTION("""COMPUTED_VALUE"""),"TAILLARD DENIS")</f>
        <v>TAILLARD DENIS</v>
      </c>
      <c r="B214" s="142" t="str">
        <f>IFERROR(__xludf.DUMMYFUNCTION("""COMPUTED_VALUE"""),"E2 P5")</f>
        <v>E2 P5</v>
      </c>
      <c r="C214" s="151">
        <f>IFERROR(__xludf.DUMMYFUNCTION("""COMPUTED_VALUE"""),46121.0)</f>
        <v>46121</v>
      </c>
      <c r="D214" s="143" t="str">
        <f t="shared" si="1"/>
        <v>ok</v>
      </c>
      <c r="E214" s="149" t="str">
        <f t="shared" si="2"/>
        <v>TAILLARD DENIS   ok</v>
      </c>
      <c r="F214" s="149" t="b">
        <f>IFERROR(__xludf.DUMMYFUNCTION("""COMPUTED_VALUE"""),TRUE)</f>
        <v>1</v>
      </c>
      <c r="G214" s="149" t="b">
        <f>IFERROR(__xludf.DUMMYFUNCTION("""COMPUTED_VALUE"""),TRUE)</f>
        <v>1</v>
      </c>
      <c r="H214" s="145" t="str">
        <f>IFERROR(__xludf.DUMMYFUNCTION("""COMPUTED_VALUE"""),"E2 P5")</f>
        <v>E2 P5</v>
      </c>
      <c r="K214" s="149" t="str">
        <f t="shared" si="3"/>
        <v>TAILLARD DENIS   ok   E2 P5</v>
      </c>
    </row>
    <row r="215" ht="15.75" customHeight="1">
      <c r="A215" s="149" t="str">
        <f>IFERROR(__xludf.DUMMYFUNCTION("""COMPUTED_VALUE"""),"TARDY GILLES")</f>
        <v>TARDY GILLES</v>
      </c>
      <c r="B215" s="142" t="str">
        <f>IFERROR(__xludf.DUMMYFUNCTION("""COMPUTED_VALUE"""),"E2")</f>
        <v>E2</v>
      </c>
      <c r="C215" s="151">
        <f>IFERROR(__xludf.DUMMYFUNCTION("""COMPUTED_VALUE"""),45933.0)</f>
        <v>45933</v>
      </c>
      <c r="D215" s="143" t="str">
        <f t="shared" si="1"/>
        <v>ok</v>
      </c>
      <c r="E215" s="149" t="str">
        <f t="shared" si="2"/>
        <v>TARDY GILLES   ok</v>
      </c>
      <c r="F215" s="149" t="b">
        <f>IFERROR(__xludf.DUMMYFUNCTION("""COMPUTED_VALUE"""),TRUE)</f>
        <v>1</v>
      </c>
      <c r="G215" s="149" t="b">
        <f>IFERROR(__xludf.DUMMYFUNCTION("""COMPUTED_VALUE"""),TRUE)</f>
        <v>1</v>
      </c>
      <c r="H215" s="145" t="str">
        <f>IFERROR(__xludf.DUMMYFUNCTION("""COMPUTED_VALUE"""),"E2")</f>
        <v>E2</v>
      </c>
      <c r="K215" s="149" t="str">
        <f t="shared" si="3"/>
        <v>TARDY GILLES   ok   E2</v>
      </c>
    </row>
    <row r="216" ht="15.75" customHeight="1">
      <c r="A216" s="149" t="str">
        <f>IFERROR(__xludf.DUMMYFUNCTION("""COMPUTED_VALUE"""),"TEISSEIRE Manon")</f>
        <v>TEISSEIRE Manon</v>
      </c>
      <c r="B216" s="142" t="str">
        <f>IFERROR(__xludf.DUMMYFUNCTION("""COMPUTED_VALUE"""),"PE20")</f>
        <v>PE20</v>
      </c>
      <c r="C216" s="151">
        <f>IFERROR(__xludf.DUMMYFUNCTION("""COMPUTED_VALUE"""),46039.0)</f>
        <v>46039</v>
      </c>
      <c r="D216" s="143" t="str">
        <f t="shared" si="1"/>
        <v>ok</v>
      </c>
      <c r="E216" s="149" t="str">
        <f t="shared" si="2"/>
        <v>TEISSEIRE Manon   ok</v>
      </c>
      <c r="F216" s="149" t="b">
        <f>IFERROR(__xludf.DUMMYFUNCTION("""COMPUTED_VALUE"""),FALSE)</f>
        <v>0</v>
      </c>
      <c r="G216" s="149" t="b">
        <f>IFERROR(__xludf.DUMMYFUNCTION("""COMPUTED_VALUE"""),TRUE)</f>
        <v>1</v>
      </c>
      <c r="H216" s="145" t="str">
        <f>IFERROR(__xludf.DUMMYFUNCTION("""COMPUTED_VALUE"""),"PE20")</f>
        <v>PE20</v>
      </c>
      <c r="K216" s="149" t="str">
        <f t="shared" si="3"/>
        <v>TEISSEIRE Manon   ok   PE20</v>
      </c>
    </row>
    <row r="217" ht="15.75" customHeight="1">
      <c r="A217" s="149" t="str">
        <f>IFERROR(__xludf.DUMMYFUNCTION("""COMPUTED_VALUE"""),"TEISSEIRE Marine")</f>
        <v>TEISSEIRE Marine</v>
      </c>
      <c r="B217" s="142" t="str">
        <f>IFERROR(__xludf.DUMMYFUNCTION("""COMPUTED_VALUE"""),"PE20")</f>
        <v>PE20</v>
      </c>
      <c r="C217" s="151">
        <f>IFERROR(__xludf.DUMMYFUNCTION("""COMPUTED_VALUE"""),46039.0)</f>
        <v>46039</v>
      </c>
      <c r="D217" s="143" t="str">
        <f t="shared" si="1"/>
        <v>ok</v>
      </c>
      <c r="E217" s="149" t="str">
        <f t="shared" si="2"/>
        <v>TEISSEIRE Marine   ok</v>
      </c>
      <c r="F217" s="149" t="b">
        <f>IFERROR(__xludf.DUMMYFUNCTION("""COMPUTED_VALUE"""),FALSE)</f>
        <v>0</v>
      </c>
      <c r="G217" s="149" t="b">
        <f>IFERROR(__xludf.DUMMYFUNCTION("""COMPUTED_VALUE"""),TRUE)</f>
        <v>1</v>
      </c>
      <c r="H217" s="145" t="str">
        <f>IFERROR(__xludf.DUMMYFUNCTION("""COMPUTED_VALUE"""),"PE20")</f>
        <v>PE20</v>
      </c>
      <c r="K217" s="149" t="str">
        <f t="shared" si="3"/>
        <v>TEISSEIRE Marine   ok   PE20</v>
      </c>
    </row>
    <row r="218" ht="15.75" customHeight="1">
      <c r="A218" s="149" t="str">
        <f>IFERROR(__xludf.DUMMYFUNCTION("""COMPUTED_VALUE"""),"THEBAUT Michael")</f>
        <v>THEBAUT Michael</v>
      </c>
      <c r="B218" s="142" t="str">
        <f>IFERROR(__xludf.DUMMYFUNCTION("""COMPUTED_VALUE"""),"PE20")</f>
        <v>PE20</v>
      </c>
      <c r="C218" s="151">
        <f>IFERROR(__xludf.DUMMYFUNCTION("""COMPUTED_VALUE"""),45911.0)</f>
        <v>45911</v>
      </c>
      <c r="D218" s="143" t="str">
        <f t="shared" si="1"/>
        <v>ko</v>
      </c>
      <c r="E218" s="149" t="str">
        <f t="shared" si="2"/>
        <v>THEBAUT Michael   ko</v>
      </c>
      <c r="F218" s="149" t="b">
        <f>IFERROR(__xludf.DUMMYFUNCTION("""COMPUTED_VALUE"""),FALSE)</f>
        <v>0</v>
      </c>
      <c r="G218" s="149" t="b">
        <f>IFERROR(__xludf.DUMMYFUNCTION("""COMPUTED_VALUE"""),TRUE)</f>
        <v>1</v>
      </c>
      <c r="H218" s="145" t="str">
        <f>IFERROR(__xludf.DUMMYFUNCTION("""COMPUTED_VALUE"""),"PE20")</f>
        <v>PE20</v>
      </c>
      <c r="K218" s="149" t="str">
        <f t="shared" si="3"/>
        <v>THEBAUT Michael   ko   PE20</v>
      </c>
    </row>
    <row r="219" ht="15.75" customHeight="1">
      <c r="A219" s="149" t="str">
        <f>IFERROR(__xludf.DUMMYFUNCTION("""COMPUTED_VALUE"""),"THIERRY	Thomas")</f>
        <v>THIERRY	Thomas</v>
      </c>
      <c r="B219" s="142" t="str">
        <f>IFERROR(__xludf.DUMMYFUNCTION("""COMPUTED_VALUE"""),"GP")</f>
        <v>GP</v>
      </c>
      <c r="C219" s="151">
        <f>IFERROR(__xludf.DUMMYFUNCTION("""COMPUTED_VALUE"""),45853.0)</f>
        <v>45853</v>
      </c>
      <c r="D219" s="143" t="str">
        <f t="shared" si="1"/>
        <v>ko</v>
      </c>
      <c r="E219" s="149" t="str">
        <f t="shared" si="2"/>
        <v>THIERRY	Thomas   ko</v>
      </c>
      <c r="F219" s="149" t="b">
        <f>IFERROR(__xludf.DUMMYFUNCTION("""COMPUTED_VALUE"""),FALSE)</f>
        <v>0</v>
      </c>
      <c r="G219" s="149" t="b">
        <f>IFERROR(__xludf.DUMMYFUNCTION("""COMPUTED_VALUE"""),TRUE)</f>
        <v>1</v>
      </c>
      <c r="H219" s="145" t="str">
        <f>IFERROR(__xludf.DUMMYFUNCTION("""COMPUTED_VALUE"""),"GP")</f>
        <v>GP</v>
      </c>
      <c r="K219" s="149" t="str">
        <f t="shared" si="3"/>
        <v>THIERRY	Thomas   ko   GP</v>
      </c>
    </row>
    <row r="220" ht="15.75" customHeight="1">
      <c r="A220" s="149" t="str">
        <f>IFERROR(__xludf.DUMMYFUNCTION("""COMPUTED_VALUE"""),"Tissot	Lyne")</f>
        <v>Tissot	Lyne</v>
      </c>
      <c r="B220" s="142" t="str">
        <f>IFERROR(__xludf.DUMMYFUNCTION("""COMPUTED_VALUE"""),"PE20")</f>
        <v>PE20</v>
      </c>
      <c r="C220" s="151">
        <f>IFERROR(__xludf.DUMMYFUNCTION("""COMPUTED_VALUE"""),46037.0)</f>
        <v>46037</v>
      </c>
      <c r="D220" s="143" t="str">
        <f t="shared" si="1"/>
        <v>ok</v>
      </c>
      <c r="E220" s="149" t="str">
        <f t="shared" si="2"/>
        <v>Tissot	Lyne   ok</v>
      </c>
      <c r="F220" s="149" t="b">
        <f>IFERROR(__xludf.DUMMYFUNCTION("""COMPUTED_VALUE"""),FALSE)</f>
        <v>0</v>
      </c>
      <c r="G220" s="149" t="b">
        <f>IFERROR(__xludf.DUMMYFUNCTION("""COMPUTED_VALUE"""),TRUE)</f>
        <v>1</v>
      </c>
      <c r="H220" s="145" t="str">
        <f>IFERROR(__xludf.DUMMYFUNCTION("""COMPUTED_VALUE"""),"PE20")</f>
        <v>PE20</v>
      </c>
      <c r="K220" s="149" t="str">
        <f t="shared" si="3"/>
        <v>Tissot	Lyne   ok   PE20</v>
      </c>
    </row>
    <row r="221" ht="15.75" customHeight="1">
      <c r="A221" s="149" t="str">
        <f>IFERROR(__xludf.DUMMYFUNCTION("""COMPUTED_VALUE"""),"Trimarchi Joseph")</f>
        <v>Trimarchi Joseph</v>
      </c>
      <c r="B221" s="142" t="str">
        <f>IFERROR(__xludf.DUMMYFUNCTION("""COMPUTED_VALUE"""),"PA60  ")</f>
        <v>PA60  </v>
      </c>
      <c r="C221" s="151">
        <f>IFERROR(__xludf.DUMMYFUNCTION("""COMPUTED_VALUE"""),46186.0)</f>
        <v>46186</v>
      </c>
      <c r="D221" s="143" t="str">
        <f t="shared" si="1"/>
        <v>ok</v>
      </c>
      <c r="E221" s="149" t="str">
        <f t="shared" si="2"/>
        <v>Trimarchi Joseph   ok</v>
      </c>
      <c r="F221" s="149" t="b">
        <f>IFERROR(__xludf.DUMMYFUNCTION("""COMPUTED_VALUE"""),TRUE)</f>
        <v>1</v>
      </c>
      <c r="G221" s="149" t="b">
        <f>IFERROR(__xludf.DUMMYFUNCTION("""COMPUTED_VALUE"""),TRUE)</f>
        <v>1</v>
      </c>
      <c r="H221" s="145" t="str">
        <f>IFERROR(__xludf.DUMMYFUNCTION("""COMPUTED_VALUE"""),"PA60  ")</f>
        <v>PA60  </v>
      </c>
      <c r="K221" s="149" t="str">
        <f t="shared" si="3"/>
        <v>Trimarchi Joseph   ok   PA60  </v>
      </c>
    </row>
    <row r="222" ht="15.75" customHeight="1">
      <c r="A222" s="149" t="str">
        <f>IFERROR(__xludf.DUMMYFUNCTION("""COMPUTED_VALUE"""),"Vai  Gabriel")</f>
        <v>Vai  Gabriel</v>
      </c>
      <c r="B222" s="142" t="str">
        <f>IFERROR(__xludf.DUMMYFUNCTION("""COMPUTED_VALUE"""),"PE20")</f>
        <v>PE20</v>
      </c>
      <c r="C222" s="151">
        <f>IFERROR(__xludf.DUMMYFUNCTION("""COMPUTED_VALUE"""),46058.0)</f>
        <v>46058</v>
      </c>
      <c r="D222" s="143" t="str">
        <f t="shared" si="1"/>
        <v>ok</v>
      </c>
      <c r="E222" s="149" t="str">
        <f t="shared" si="2"/>
        <v>Vai  Gabriel   ok</v>
      </c>
      <c r="F222" s="149" t="b">
        <f>IFERROR(__xludf.DUMMYFUNCTION("""COMPUTED_VALUE"""),FALSE)</f>
        <v>0</v>
      </c>
      <c r="G222" s="149" t="b">
        <f>IFERROR(__xludf.DUMMYFUNCTION("""COMPUTED_VALUE"""),TRUE)</f>
        <v>1</v>
      </c>
      <c r="H222" s="145" t="str">
        <f>IFERROR(__xludf.DUMMYFUNCTION("""COMPUTED_VALUE"""),"PE20")</f>
        <v>PE20</v>
      </c>
      <c r="K222" s="149" t="str">
        <f t="shared" si="3"/>
        <v>Vai  Gabriel   ok   PE20</v>
      </c>
    </row>
    <row r="223" ht="15.75" customHeight="1">
      <c r="A223" s="149" t="str">
        <f>IFERROR(__xludf.DUMMYFUNCTION("""COMPUTED_VALUE"""),"VAILLANT DELPHINE")</f>
        <v>VAILLANT DELPHINE</v>
      </c>
      <c r="B223" s="142" t="str">
        <f>IFERROR(__xludf.DUMMYFUNCTION("""COMPUTED_VALUE"""),"GP")</f>
        <v>GP</v>
      </c>
      <c r="C223" s="151">
        <f>IFERROR(__xludf.DUMMYFUNCTION("""COMPUTED_VALUE"""),46065.0)</f>
        <v>46065</v>
      </c>
      <c r="D223" s="143" t="str">
        <f t="shared" si="1"/>
        <v>ok</v>
      </c>
      <c r="E223" s="149" t="str">
        <f t="shared" si="2"/>
        <v>VAILLANT DELPHINE   ok</v>
      </c>
      <c r="F223" s="149" t="b">
        <f>IFERROR(__xludf.DUMMYFUNCTION("""COMPUTED_VALUE"""),TRUE)</f>
        <v>1</v>
      </c>
      <c r="G223" s="149" t="b">
        <f>IFERROR(__xludf.DUMMYFUNCTION("""COMPUTED_VALUE"""),TRUE)</f>
        <v>1</v>
      </c>
      <c r="H223" s="145" t="str">
        <f>IFERROR(__xludf.DUMMYFUNCTION("""COMPUTED_VALUE"""),"GP")</f>
        <v>GP</v>
      </c>
      <c r="K223" s="149" t="str">
        <f t="shared" si="3"/>
        <v>VAILLANT DELPHINE   ok   GP</v>
      </c>
    </row>
    <row r="224" ht="15.75" customHeight="1">
      <c r="A224" s="149" t="str">
        <f>IFERROR(__xludf.DUMMYFUNCTION("""COMPUTED_VALUE"""),"VALLENTIN PATRICK")</f>
        <v>VALLENTIN PATRICK</v>
      </c>
      <c r="B224" s="142" t="str">
        <f>IFERROR(__xludf.DUMMYFUNCTION("""COMPUTED_VALUE"""),"PA60  ")</f>
        <v>PA60  </v>
      </c>
      <c r="C224" s="151">
        <f>IFERROR(__xludf.DUMMYFUNCTION("""COMPUTED_VALUE"""),46007.0)</f>
        <v>46007</v>
      </c>
      <c r="D224" s="143" t="str">
        <f t="shared" si="1"/>
        <v>ok</v>
      </c>
      <c r="E224" s="149" t="str">
        <f t="shared" si="2"/>
        <v>VALLENTIN PATRICK   ok</v>
      </c>
      <c r="F224" s="149" t="b">
        <f>IFERROR(__xludf.DUMMYFUNCTION("""COMPUTED_VALUE"""),TRUE)</f>
        <v>1</v>
      </c>
      <c r="G224" s="149" t="b">
        <f>IFERROR(__xludf.DUMMYFUNCTION("""COMPUTED_VALUE"""),TRUE)</f>
        <v>1</v>
      </c>
      <c r="H224" s="145" t="str">
        <f>IFERROR(__xludf.DUMMYFUNCTION("""COMPUTED_VALUE"""),"PA60  ")</f>
        <v>PA60  </v>
      </c>
      <c r="K224" s="149" t="str">
        <f t="shared" si="3"/>
        <v>VALLENTIN PATRICK   ok   PA60  </v>
      </c>
    </row>
    <row r="225" ht="15.75" customHeight="1">
      <c r="A225" s="149" t="str">
        <f>IFERROR(__xludf.DUMMYFUNCTION("""COMPUTED_VALUE"""),"VERDIER Laure")</f>
        <v>VERDIER Laure</v>
      </c>
      <c r="B225" s="142" t="str">
        <f>IFERROR(__xludf.DUMMYFUNCTION("""COMPUTED_VALUE"""),"PA60 E1")</f>
        <v>PA60 E1</v>
      </c>
      <c r="C225" s="151">
        <f>IFERROR(__xludf.DUMMYFUNCTION("""COMPUTED_VALUE"""),45952.0)</f>
        <v>45952</v>
      </c>
      <c r="D225" s="143" t="str">
        <f t="shared" si="1"/>
        <v>ok</v>
      </c>
      <c r="E225" s="149" t="str">
        <f t="shared" si="2"/>
        <v>VERDIER Laure   ok</v>
      </c>
      <c r="F225" s="149" t="b">
        <f>IFERROR(__xludf.DUMMYFUNCTION("""COMPUTED_VALUE"""),TRUE)</f>
        <v>1</v>
      </c>
      <c r="G225" s="149" t="b">
        <f>IFERROR(__xludf.DUMMYFUNCTION("""COMPUTED_VALUE"""),TRUE)</f>
        <v>1</v>
      </c>
      <c r="H225" s="145" t="str">
        <f>IFERROR(__xludf.DUMMYFUNCTION("""COMPUTED_VALUE"""),"PA60 E1")</f>
        <v>PA60 E1</v>
      </c>
      <c r="K225" s="149" t="str">
        <f t="shared" si="3"/>
        <v>VERDIER Laure   ok   PA60 E1</v>
      </c>
    </row>
    <row r="226" ht="15.75" customHeight="1">
      <c r="A226" s="149" t="str">
        <f>IFERROR(__xludf.DUMMYFUNCTION("""COMPUTED_VALUE"""),"VIALE MICHELE")</f>
        <v>VIALE MICHELE</v>
      </c>
      <c r="B226" s="142" t="str">
        <f>IFERROR(__xludf.DUMMYFUNCTION("""COMPUTED_VALUE"""),"PA60  ")</f>
        <v>PA60  </v>
      </c>
      <c r="C226" s="151">
        <f>IFERROR(__xludf.DUMMYFUNCTION("""COMPUTED_VALUE"""),46175.0)</f>
        <v>46175</v>
      </c>
      <c r="D226" s="143" t="str">
        <f t="shared" si="1"/>
        <v>ok</v>
      </c>
      <c r="E226" s="149" t="str">
        <f t="shared" si="2"/>
        <v>VIALE MICHELE   ok</v>
      </c>
      <c r="F226" s="149" t="b">
        <f>IFERROR(__xludf.DUMMYFUNCTION("""COMPUTED_VALUE"""),TRUE)</f>
        <v>1</v>
      </c>
      <c r="G226" s="149" t="b">
        <f>IFERROR(__xludf.DUMMYFUNCTION("""COMPUTED_VALUE"""),TRUE)</f>
        <v>1</v>
      </c>
      <c r="H226" s="145" t="str">
        <f>IFERROR(__xludf.DUMMYFUNCTION("""COMPUTED_VALUE"""),"PA60  ")</f>
        <v>PA60  </v>
      </c>
      <c r="K226" s="149" t="str">
        <f t="shared" si="3"/>
        <v>VIALE MICHELE   ok   PA60  </v>
      </c>
    </row>
    <row r="227" ht="15.75" customHeight="1">
      <c r="A227" s="149" t="str">
        <f>IFERROR(__xludf.DUMMYFUNCTION("""COMPUTED_VALUE"""),"VIANO CHIARA")</f>
        <v>VIANO CHIARA</v>
      </c>
      <c r="B227" s="142" t="str">
        <f>IFERROR(__xludf.DUMMYFUNCTION("""COMPUTED_VALUE"""),"PE40")</f>
        <v>PE40</v>
      </c>
      <c r="C227" s="151">
        <f>IFERROR(__xludf.DUMMYFUNCTION("""COMPUTED_VALUE"""),46199.0)</f>
        <v>46199</v>
      </c>
      <c r="D227" s="143" t="str">
        <f t="shared" si="1"/>
        <v>ok</v>
      </c>
      <c r="E227" s="149" t="str">
        <f t="shared" si="2"/>
        <v>VIANO CHIARA   ok</v>
      </c>
      <c r="F227" s="149" t="b">
        <f>IFERROR(__xludf.DUMMYFUNCTION("""COMPUTED_VALUE"""),TRUE)</f>
        <v>1</v>
      </c>
      <c r="G227" s="149" t="b">
        <f>IFERROR(__xludf.DUMMYFUNCTION("""COMPUTED_VALUE"""),TRUE)</f>
        <v>1</v>
      </c>
      <c r="H227" s="145" t="str">
        <f>IFERROR(__xludf.DUMMYFUNCTION("""COMPUTED_VALUE"""),"PE40")</f>
        <v>PE40</v>
      </c>
      <c r="K227" s="149" t="str">
        <f t="shared" si="3"/>
        <v>VIANO CHIARA   ok   PE40</v>
      </c>
    </row>
    <row r="228" ht="15.75" customHeight="1">
      <c r="A228" s="149" t="str">
        <f>IFERROR(__xludf.DUMMYFUNCTION("""COMPUTED_VALUE"""),"VIDAL OLIVIA")</f>
        <v>VIDAL OLIVIA</v>
      </c>
      <c r="B228" s="142" t="str">
        <f>IFERROR(__xludf.DUMMYFUNCTION("""COMPUTED_VALUE"""),"PE20")</f>
        <v>PE20</v>
      </c>
      <c r="C228" s="151">
        <f>IFERROR(__xludf.DUMMYFUNCTION("""COMPUTED_VALUE"""),46056.0)</f>
        <v>46056</v>
      </c>
      <c r="D228" s="143" t="str">
        <f t="shared" si="1"/>
        <v>ok</v>
      </c>
      <c r="E228" s="149" t="str">
        <f t="shared" si="2"/>
        <v>VIDAL OLIVIA   ok</v>
      </c>
      <c r="F228" s="149" t="b">
        <f>IFERROR(__xludf.DUMMYFUNCTION("""COMPUTED_VALUE"""),FALSE)</f>
        <v>0</v>
      </c>
      <c r="G228" s="149" t="b">
        <f>IFERROR(__xludf.DUMMYFUNCTION("""COMPUTED_VALUE"""),TRUE)</f>
        <v>1</v>
      </c>
      <c r="H228" s="145" t="str">
        <f>IFERROR(__xludf.DUMMYFUNCTION("""COMPUTED_VALUE"""),"PE20")</f>
        <v>PE20</v>
      </c>
      <c r="K228" s="149" t="str">
        <f t="shared" si="3"/>
        <v>VIDAL OLIVIA   ok   PE20</v>
      </c>
    </row>
    <row r="229" ht="15.75" customHeight="1">
      <c r="A229" s="149" t="str">
        <f>IFERROR(__xludf.DUMMYFUNCTION("""COMPUTED_VALUE"""),"VIGIER PATRICK")</f>
        <v>VIGIER PATRICK</v>
      </c>
      <c r="B229" s="142" t="str">
        <f>IFERROR(__xludf.DUMMYFUNCTION("""COMPUTED_VALUE"""),"E2 P5")</f>
        <v>E2 P5</v>
      </c>
      <c r="C229" s="151">
        <f>IFERROR(__xludf.DUMMYFUNCTION("""COMPUTED_VALUE"""),46095.0)</f>
        <v>46095</v>
      </c>
      <c r="D229" s="143" t="str">
        <f t="shared" si="1"/>
        <v>ok</v>
      </c>
      <c r="E229" s="149" t="str">
        <f t="shared" si="2"/>
        <v>VIGIER PATRICK   ok</v>
      </c>
      <c r="F229" s="149" t="b">
        <f>IFERROR(__xludf.DUMMYFUNCTION("""COMPUTED_VALUE"""),TRUE)</f>
        <v>1</v>
      </c>
      <c r="G229" s="149" t="b">
        <f>IFERROR(__xludf.DUMMYFUNCTION("""COMPUTED_VALUE"""),TRUE)</f>
        <v>1</v>
      </c>
      <c r="H229" s="145" t="str">
        <f>IFERROR(__xludf.DUMMYFUNCTION("""COMPUTED_VALUE"""),"E2 P5")</f>
        <v>E2 P5</v>
      </c>
      <c r="K229" s="149" t="str">
        <f t="shared" si="3"/>
        <v>VIGIER PATRICK   ok   E2 P5</v>
      </c>
    </row>
    <row r="230" ht="15.75" customHeight="1">
      <c r="A230" s="149" t="str">
        <f>IFERROR(__xludf.DUMMYFUNCTION("""COMPUTED_VALUE"""),"VILOROUX PHILIPPE")</f>
        <v>VILOROUX PHILIPPE</v>
      </c>
      <c r="B230" s="142" t="str">
        <f>IFERROR(__xludf.DUMMYFUNCTION("""COMPUTED_VALUE"""),"PE40 PA20")</f>
        <v>PE40 PA20</v>
      </c>
      <c r="C230" s="151">
        <f>IFERROR(__xludf.DUMMYFUNCTION("""COMPUTED_VALUE"""),46101.0)</f>
        <v>46101</v>
      </c>
      <c r="D230" s="143" t="str">
        <f t="shared" si="1"/>
        <v>ok</v>
      </c>
      <c r="E230" s="149" t="str">
        <f t="shared" si="2"/>
        <v>VILOROUX PHILIPPE   ok</v>
      </c>
      <c r="F230" s="149" t="b">
        <f>IFERROR(__xludf.DUMMYFUNCTION("""COMPUTED_VALUE"""),TRUE)</f>
        <v>1</v>
      </c>
      <c r="G230" s="149" t="b">
        <f>IFERROR(__xludf.DUMMYFUNCTION("""COMPUTED_VALUE"""),TRUE)</f>
        <v>1</v>
      </c>
      <c r="H230" s="145" t="str">
        <f>IFERROR(__xludf.DUMMYFUNCTION("""COMPUTED_VALUE"""),"PE40 PA20")</f>
        <v>PE40 PA20</v>
      </c>
      <c r="K230" s="149" t="str">
        <f t="shared" si="3"/>
        <v>VILOROUX PHILIPPE   ok   PE40 PA20</v>
      </c>
    </row>
    <row r="231" ht="15.75" customHeight="1">
      <c r="A231" s="149" t="str">
        <f>IFERROR(__xludf.DUMMYFUNCTION("""COMPUTED_VALUE"""),"VINDIOLLET GERALD")</f>
        <v>VINDIOLLET GERALD</v>
      </c>
      <c r="B231" s="142" t="str">
        <f>IFERROR(__xludf.DUMMYFUNCTION("""COMPUTED_VALUE"""),"E2 P5")</f>
        <v>E2 P5</v>
      </c>
      <c r="C231" s="151">
        <f>IFERROR(__xludf.DUMMYFUNCTION("""COMPUTED_VALUE"""),45933.0)</f>
        <v>45933</v>
      </c>
      <c r="D231" s="143" t="str">
        <f t="shared" si="1"/>
        <v>ok</v>
      </c>
      <c r="E231" s="149" t="str">
        <f t="shared" si="2"/>
        <v>VINDIOLLET GERALD   ok</v>
      </c>
      <c r="F231" s="149" t="b">
        <f>IFERROR(__xludf.DUMMYFUNCTION("""COMPUTED_VALUE"""),TRUE)</f>
        <v>1</v>
      </c>
      <c r="G231" s="149" t="b">
        <f>IFERROR(__xludf.DUMMYFUNCTION("""COMPUTED_VALUE"""),TRUE)</f>
        <v>1</v>
      </c>
      <c r="H231" s="145" t="str">
        <f>IFERROR(__xludf.DUMMYFUNCTION("""COMPUTED_VALUE"""),"E2 P5")</f>
        <v>E2 P5</v>
      </c>
      <c r="K231" s="149" t="str">
        <f t="shared" si="3"/>
        <v>VINDIOLLET GERALD   ok   E2 P5</v>
      </c>
    </row>
    <row r="232" ht="15.75" customHeight="1">
      <c r="A232" s="149" t="str">
        <f>IFERROR(__xludf.DUMMYFUNCTION("""COMPUTED_VALUE"""),"VINDIOLLET ROMAIN")</f>
        <v>VINDIOLLET ROMAIN</v>
      </c>
      <c r="B232" s="142" t="str">
        <f>IFERROR(__xludf.DUMMYFUNCTION("""COMPUTED_VALUE"""),"PE20")</f>
        <v>PE20</v>
      </c>
      <c r="C232" s="151">
        <f>IFERROR(__xludf.DUMMYFUNCTION("""COMPUTED_VALUE"""),46219.0)</f>
        <v>46219</v>
      </c>
      <c r="D232" s="143" t="str">
        <f t="shared" si="1"/>
        <v>ok</v>
      </c>
      <c r="E232" s="149" t="str">
        <f t="shared" si="2"/>
        <v>VINDIOLLET ROMAIN   ok</v>
      </c>
      <c r="F232" s="149" t="b">
        <f>IFERROR(__xludf.DUMMYFUNCTION("""COMPUTED_VALUE"""),FALSE)</f>
        <v>0</v>
      </c>
      <c r="G232" s="149" t="b">
        <f>IFERROR(__xludf.DUMMYFUNCTION("""COMPUTED_VALUE"""),TRUE)</f>
        <v>1</v>
      </c>
      <c r="H232" s="145" t="str">
        <f>IFERROR(__xludf.DUMMYFUNCTION("""COMPUTED_VALUE"""),"PE20")</f>
        <v>PE20</v>
      </c>
      <c r="K232" s="149" t="str">
        <f t="shared" si="3"/>
        <v>VINDIOLLET ROMAIN   ok   PE20</v>
      </c>
    </row>
    <row r="233" ht="15.75" customHeight="1">
      <c r="A233" s="149" t="str">
        <f>IFERROR(__xludf.DUMMYFUNCTION("""COMPUTED_VALUE"""),"Voilequin Gabriel")</f>
        <v>Voilequin Gabriel</v>
      </c>
      <c r="B233" s="142" t="str">
        <f>IFERROR(__xludf.DUMMYFUNCTION("""COMPUTED_VALUE"""),"PE20")</f>
        <v>PE20</v>
      </c>
      <c r="C233" s="151">
        <f>IFERROR(__xludf.DUMMYFUNCTION("""COMPUTED_VALUE"""),46149.0)</f>
        <v>46149</v>
      </c>
      <c r="D233" s="143" t="str">
        <f t="shared" si="1"/>
        <v>ok</v>
      </c>
      <c r="E233" s="149" t="str">
        <f t="shared" si="2"/>
        <v>Voilequin Gabriel   ok</v>
      </c>
      <c r="F233" s="149" t="b">
        <f>IFERROR(__xludf.DUMMYFUNCTION("""COMPUTED_VALUE"""),FALSE)</f>
        <v>0</v>
      </c>
      <c r="G233" s="149" t="b">
        <f>IFERROR(__xludf.DUMMYFUNCTION("""COMPUTED_VALUE"""),TRUE)</f>
        <v>1</v>
      </c>
      <c r="H233" s="145" t="str">
        <f>IFERROR(__xludf.DUMMYFUNCTION("""COMPUTED_VALUE"""),"PE20")</f>
        <v>PE20</v>
      </c>
      <c r="K233" s="149" t="str">
        <f t="shared" si="3"/>
        <v>Voilequin Gabriel   ok   PE20</v>
      </c>
    </row>
    <row r="234" ht="15.75" customHeight="1">
      <c r="A234" s="149" t="str">
        <f>IFERROR(__xludf.DUMMYFUNCTION("""COMPUTED_VALUE"""),"Voneschen Nicolas")</f>
        <v>Voneschen Nicolas</v>
      </c>
      <c r="B234" s="142" t="str">
        <f>IFERROR(__xludf.DUMMYFUNCTION("""COMPUTED_VALUE"""),"PE40")</f>
        <v>PE40</v>
      </c>
      <c r="C234" s="151">
        <f>IFERROR(__xludf.DUMMYFUNCTION("""COMPUTED_VALUE"""),46053.0)</f>
        <v>46053</v>
      </c>
      <c r="D234" s="143" t="str">
        <f t="shared" si="1"/>
        <v>ok</v>
      </c>
      <c r="E234" s="149" t="str">
        <f t="shared" si="2"/>
        <v>Voneschen Nicolas   ok</v>
      </c>
      <c r="F234" s="149" t="b">
        <f>IFERROR(__xludf.DUMMYFUNCTION("""COMPUTED_VALUE"""),FALSE)</f>
        <v>0</v>
      </c>
      <c r="G234" s="149" t="b">
        <f>IFERROR(__xludf.DUMMYFUNCTION("""COMPUTED_VALUE"""),TRUE)</f>
        <v>1</v>
      </c>
      <c r="H234" s="145" t="str">
        <f>IFERROR(__xludf.DUMMYFUNCTION("""COMPUTED_VALUE"""),"PE40")</f>
        <v>PE40</v>
      </c>
      <c r="K234" s="149" t="str">
        <f t="shared" si="3"/>
        <v>Voneschen Nicolas   ok   PE40</v>
      </c>
    </row>
    <row r="235" ht="15.75" customHeight="1">
      <c r="A235" s="149" t="str">
        <f>IFERROR(__xludf.DUMMYFUNCTION("""COMPUTED_VALUE"""),"WALFARD OLIVIER")</f>
        <v>WALFARD OLIVIER</v>
      </c>
      <c r="B235" s="142" t="str">
        <f>IFERROR(__xludf.DUMMYFUNCTION("""COMPUTED_VALUE"""),"E3")</f>
        <v>E3</v>
      </c>
      <c r="C235" s="151">
        <f>IFERROR(__xludf.DUMMYFUNCTION("""COMPUTED_VALUE"""),46098.0)</f>
        <v>46098</v>
      </c>
      <c r="D235" s="143" t="str">
        <f t="shared" si="1"/>
        <v>ok</v>
      </c>
      <c r="E235" s="149" t="str">
        <f t="shared" si="2"/>
        <v>WALFARD OLIVIER   ok</v>
      </c>
      <c r="F235" s="149" t="b">
        <f>IFERROR(__xludf.DUMMYFUNCTION("""COMPUTED_VALUE"""),TRUE)</f>
        <v>1</v>
      </c>
      <c r="G235" s="149" t="b">
        <f>IFERROR(__xludf.DUMMYFUNCTION("""COMPUTED_VALUE"""),TRUE)</f>
        <v>1</v>
      </c>
      <c r="H235" s="145" t="str">
        <f>IFERROR(__xludf.DUMMYFUNCTION("""COMPUTED_VALUE"""),"E3")</f>
        <v>E3</v>
      </c>
      <c r="K235" s="149" t="str">
        <f t="shared" si="3"/>
        <v>WALFARD OLIVIER   ok   E3</v>
      </c>
    </row>
    <row r="236" ht="15.75" customHeight="1">
      <c r="A236" s="149" t="str">
        <f>IFERROR(__xludf.DUMMYFUNCTION("""COMPUTED_VALUE"""),"WALLON benoit")</f>
        <v>WALLON benoit</v>
      </c>
      <c r="B236" s="142" t="str">
        <f>IFERROR(__xludf.DUMMYFUNCTION("""COMPUTED_VALUE"""),"PA60  ")</f>
        <v>PA60  </v>
      </c>
      <c r="C236" s="151">
        <f>IFERROR(__xludf.DUMMYFUNCTION("""COMPUTED_VALUE"""),46178.0)</f>
        <v>46178</v>
      </c>
      <c r="D236" s="143" t="str">
        <f t="shared" si="1"/>
        <v>ok</v>
      </c>
      <c r="E236" s="149" t="str">
        <f t="shared" si="2"/>
        <v>WALLON benoit   ok</v>
      </c>
      <c r="F236" s="149" t="b">
        <f>IFERROR(__xludf.DUMMYFUNCTION("""COMPUTED_VALUE"""),TRUE)</f>
        <v>1</v>
      </c>
      <c r="G236" s="149" t="b">
        <f>IFERROR(__xludf.DUMMYFUNCTION("""COMPUTED_VALUE"""),TRUE)</f>
        <v>1</v>
      </c>
      <c r="H236" s="145" t="str">
        <f>IFERROR(__xludf.DUMMYFUNCTION("""COMPUTED_VALUE"""),"PA60  ")</f>
        <v>PA60  </v>
      </c>
      <c r="K236" s="149" t="str">
        <f t="shared" si="3"/>
        <v>WALLON benoit   ok   PA60  </v>
      </c>
    </row>
    <row r="237" ht="15.75" customHeight="1">
      <c r="A237" s="149" t="str">
        <f>IFERROR(__xludf.DUMMYFUNCTION("""COMPUTED_VALUE"""),"XALLE CHRISTELLE")</f>
        <v>XALLE CHRISTELLE</v>
      </c>
      <c r="B237" s="142" t="str">
        <f>IFERROR(__xludf.DUMMYFUNCTION("""COMPUTED_VALUE"""),"GP")</f>
        <v>GP</v>
      </c>
      <c r="C237" s="151">
        <f>IFERROR(__xludf.DUMMYFUNCTION("""COMPUTED_VALUE"""),46128.0)</f>
        <v>46128</v>
      </c>
      <c r="D237" s="143" t="str">
        <f t="shared" si="1"/>
        <v>ok</v>
      </c>
      <c r="E237" s="149" t="str">
        <f t="shared" si="2"/>
        <v>XALLE CHRISTELLE   ok</v>
      </c>
      <c r="F237" s="149" t="b">
        <f>IFERROR(__xludf.DUMMYFUNCTION("""COMPUTED_VALUE"""),TRUE)</f>
        <v>1</v>
      </c>
      <c r="G237" s="149" t="b">
        <f>IFERROR(__xludf.DUMMYFUNCTION("""COMPUTED_VALUE"""),TRUE)</f>
        <v>1</v>
      </c>
      <c r="H237" s="145" t="str">
        <f>IFERROR(__xludf.DUMMYFUNCTION("""COMPUTED_VALUE"""),"GP")</f>
        <v>GP</v>
      </c>
      <c r="K237" s="149" t="str">
        <f t="shared" si="3"/>
        <v>XALLE CHRISTELLE   ok   GP</v>
      </c>
    </row>
    <row r="238" ht="15.75" customHeight="1">
      <c r="A238" s="149" t="str">
        <f>IFERROR(__xludf.DUMMYFUNCTION("""COMPUTED_VALUE"""),"GIUDICELLI Jean")</f>
        <v>GIUDICELLI Jean</v>
      </c>
      <c r="B238" s="142" t="str">
        <f>IFERROR(__xludf.DUMMYFUNCTION("""COMPUTED_VALUE"""),"T1")</f>
        <v>T1</v>
      </c>
      <c r="C238" s="151">
        <f>IFERROR(__xludf.DUMMYFUNCTION("""COMPUTED_VALUE"""),46262.0)</f>
        <v>46262</v>
      </c>
      <c r="D238" s="143" t="str">
        <f t="shared" si="1"/>
        <v>ok</v>
      </c>
      <c r="E238" s="149" t="str">
        <f t="shared" si="2"/>
        <v>GIUDICELLI Jean   ok</v>
      </c>
      <c r="F238" s="149" t="b">
        <f>IFERROR(__xludf.DUMMYFUNCTION("""COMPUTED_VALUE"""),FALSE)</f>
        <v>0</v>
      </c>
      <c r="G238" s="149" t="b">
        <f>IFERROR(__xludf.DUMMYFUNCTION("""COMPUTED_VALUE"""),FALSE)</f>
        <v>0</v>
      </c>
      <c r="H238" s="145" t="str">
        <f>IFERROR(__xludf.DUMMYFUNCTION("""COMPUTED_VALUE"""),"T1")</f>
        <v>T1</v>
      </c>
      <c r="K238" s="149" t="str">
        <f t="shared" si="3"/>
        <v>GIUDICELLI Jean   ok   T1</v>
      </c>
    </row>
    <row r="239" ht="15.75" customHeight="1">
      <c r="A239" s="149" t="str">
        <f>IFERROR(__xludf.DUMMYFUNCTION("""COMPUTED_VALUE"""),"GIUDICELLI Delphine")</f>
        <v>GIUDICELLI Delphine</v>
      </c>
      <c r="B239" s="142" t="str">
        <f>IFERROR(__xludf.DUMMYFUNCTION("""COMPUTED_VALUE"""),"T1")</f>
        <v>T1</v>
      </c>
      <c r="C239" s="151">
        <f>IFERROR(__xludf.DUMMYFUNCTION("""COMPUTED_VALUE"""),46262.0)</f>
        <v>46262</v>
      </c>
      <c r="D239" s="143" t="str">
        <f t="shared" si="1"/>
        <v>ok</v>
      </c>
      <c r="E239" s="149" t="str">
        <f t="shared" si="2"/>
        <v>GIUDICELLI Delphine   ok</v>
      </c>
      <c r="F239" s="149" t="b">
        <f>IFERROR(__xludf.DUMMYFUNCTION("""COMPUTED_VALUE"""),FALSE)</f>
        <v>0</v>
      </c>
      <c r="G239" s="149" t="b">
        <f>IFERROR(__xludf.DUMMYFUNCTION("""COMPUTED_VALUE"""),FALSE)</f>
        <v>0</v>
      </c>
      <c r="H239" s="145" t="str">
        <f>IFERROR(__xludf.DUMMYFUNCTION("""COMPUTED_VALUE"""),"T1")</f>
        <v>T1</v>
      </c>
      <c r="K239" s="149" t="str">
        <f t="shared" si="3"/>
        <v>GIUDICELLI Delphine   ok   T1</v>
      </c>
    </row>
    <row r="240" ht="15.75" customHeight="1">
      <c r="A240" s="149" t="str">
        <f>IFERROR(__xludf.DUMMYFUNCTION("""COMPUTED_VALUE"""),"LACOSTE Esther")</f>
        <v>LACOSTE Esther</v>
      </c>
      <c r="B240" s="142" t="str">
        <f>IFERROR(__xludf.DUMMYFUNCTION("""COMPUTED_VALUE"""),"T1")</f>
        <v>T1</v>
      </c>
      <c r="C240" s="151">
        <f>IFERROR(__xludf.DUMMYFUNCTION("""COMPUTED_VALUE"""),46262.0)</f>
        <v>46262</v>
      </c>
      <c r="D240" s="143" t="str">
        <f t="shared" si="1"/>
        <v>ok</v>
      </c>
      <c r="E240" s="149" t="str">
        <f t="shared" si="2"/>
        <v>LACOSTE Esther   ok</v>
      </c>
      <c r="F240" s="149" t="b">
        <f>IFERROR(__xludf.DUMMYFUNCTION("""COMPUTED_VALUE"""),FALSE)</f>
        <v>0</v>
      </c>
      <c r="G240" s="149" t="b">
        <f>IFERROR(__xludf.DUMMYFUNCTION("""COMPUTED_VALUE"""),FALSE)</f>
        <v>0</v>
      </c>
      <c r="H240" s="145" t="str">
        <f>IFERROR(__xludf.DUMMYFUNCTION("""COMPUTED_VALUE"""),"T1")</f>
        <v>T1</v>
      </c>
      <c r="K240" s="149" t="str">
        <f t="shared" si="3"/>
        <v>LACOSTE Esther   ok   T1</v>
      </c>
    </row>
    <row r="241" ht="15.75" customHeight="1">
      <c r="A241" s="149" t="str">
        <f>IFERROR(__xludf.DUMMYFUNCTION("""COMPUTED_VALUE"""),"CSANYI attila")</f>
        <v>CSANYI attila</v>
      </c>
      <c r="B241" s="142" t="str">
        <f>IFERROR(__xludf.DUMMYFUNCTION("""COMPUTED_VALUE"""),"PA60")</f>
        <v>PA60</v>
      </c>
      <c r="C241" s="151"/>
      <c r="D241" s="143" t="str">
        <f t="shared" si="1"/>
        <v>ko</v>
      </c>
      <c r="E241" s="149" t="str">
        <f t="shared" si="2"/>
        <v>CSANYI attila   ko</v>
      </c>
      <c r="F241" s="149" t="b">
        <f>IFERROR(__xludf.DUMMYFUNCTION("""COMPUTED_VALUE"""),TRUE)</f>
        <v>1</v>
      </c>
      <c r="G241" s="149" t="b">
        <f>IFERROR(__xludf.DUMMYFUNCTION("""COMPUTED_VALUE"""),FALSE)</f>
        <v>0</v>
      </c>
      <c r="H241" s="145" t="str">
        <f>IFERROR(__xludf.DUMMYFUNCTION("""COMPUTED_VALUE"""),"PA60")</f>
        <v>PA60</v>
      </c>
      <c r="K241" s="149" t="str">
        <f t="shared" si="3"/>
        <v>CSANYI attila   ko   PA60</v>
      </c>
    </row>
    <row r="242" ht="15.75" customHeight="1">
      <c r="A242" s="149"/>
      <c r="B242" s="142"/>
      <c r="C242" s="151"/>
      <c r="D242" s="143" t="str">
        <f t="shared" si="1"/>
        <v>ko</v>
      </c>
      <c r="E242" s="149" t="str">
        <f t="shared" si="2"/>
        <v>   ko</v>
      </c>
      <c r="F242" s="149" t="b">
        <f>IFERROR(__xludf.DUMMYFUNCTION("""COMPUTED_VALUE"""),FALSE)</f>
        <v>0</v>
      </c>
      <c r="G242" s="149" t="b">
        <f>IFERROR(__xludf.DUMMYFUNCTION("""COMPUTED_VALUE"""),FALSE)</f>
        <v>0</v>
      </c>
      <c r="H242" s="145"/>
      <c r="K242" s="149" t="str">
        <f t="shared" si="3"/>
        <v>   ko   </v>
      </c>
    </row>
    <row r="243" ht="15.75" customHeight="1">
      <c r="A243" s="149"/>
      <c r="B243" s="142"/>
      <c r="C243" s="151"/>
      <c r="D243" s="143" t="str">
        <f t="shared" si="1"/>
        <v>ko</v>
      </c>
      <c r="E243" s="149" t="str">
        <f t="shared" si="2"/>
        <v>   ko</v>
      </c>
      <c r="F243" s="149" t="b">
        <f>IFERROR(__xludf.DUMMYFUNCTION("""COMPUTED_VALUE"""),FALSE)</f>
        <v>0</v>
      </c>
      <c r="G243" s="149" t="b">
        <f>IFERROR(__xludf.DUMMYFUNCTION("""COMPUTED_VALUE"""),FALSE)</f>
        <v>0</v>
      </c>
      <c r="H243" s="145"/>
      <c r="K243" s="149" t="str">
        <f t="shared" si="3"/>
        <v>   ko   </v>
      </c>
    </row>
    <row r="244" ht="15.75" customHeight="1">
      <c r="A244" s="149"/>
      <c r="B244" s="142"/>
      <c r="C244" s="151"/>
      <c r="D244" s="143" t="str">
        <f t="shared" si="1"/>
        <v>ko</v>
      </c>
      <c r="E244" s="149" t="str">
        <f t="shared" si="2"/>
        <v>   ko</v>
      </c>
      <c r="F244" s="149" t="b">
        <f>IFERROR(__xludf.DUMMYFUNCTION("""COMPUTED_VALUE"""),FALSE)</f>
        <v>0</v>
      </c>
      <c r="G244" s="149" t="b">
        <f>IFERROR(__xludf.DUMMYFUNCTION("""COMPUTED_VALUE"""),FALSE)</f>
        <v>0</v>
      </c>
      <c r="H244" s="145"/>
      <c r="K244" s="149" t="str">
        <f t="shared" si="3"/>
        <v>   ko   </v>
      </c>
    </row>
    <row r="245" ht="15.75" customHeight="1">
      <c r="A245" s="149"/>
      <c r="B245" s="142"/>
      <c r="C245" s="151"/>
      <c r="D245" s="143" t="str">
        <f t="shared" si="1"/>
        <v>ko</v>
      </c>
      <c r="E245" s="149" t="str">
        <f t="shared" si="2"/>
        <v>   ko</v>
      </c>
      <c r="F245" s="149" t="b">
        <f>IFERROR(__xludf.DUMMYFUNCTION("""COMPUTED_VALUE"""),FALSE)</f>
        <v>0</v>
      </c>
      <c r="G245" s="149" t="b">
        <f>IFERROR(__xludf.DUMMYFUNCTION("""COMPUTED_VALUE"""),FALSE)</f>
        <v>0</v>
      </c>
      <c r="H245" s="145"/>
      <c r="K245" s="149" t="str">
        <f t="shared" si="3"/>
        <v>   ko   </v>
      </c>
    </row>
    <row r="246" ht="15.75" customHeight="1">
      <c r="A246" s="149"/>
      <c r="B246" s="142"/>
      <c r="C246" s="151"/>
      <c r="D246" s="143" t="str">
        <f t="shared" si="1"/>
        <v>ko</v>
      </c>
      <c r="E246" s="149" t="str">
        <f t="shared" si="2"/>
        <v>   ko</v>
      </c>
      <c r="F246" s="149" t="b">
        <f>IFERROR(__xludf.DUMMYFUNCTION("""COMPUTED_VALUE"""),FALSE)</f>
        <v>0</v>
      </c>
      <c r="G246" s="149" t="b">
        <f>IFERROR(__xludf.DUMMYFUNCTION("""COMPUTED_VALUE"""),FALSE)</f>
        <v>0</v>
      </c>
      <c r="H246" s="145"/>
      <c r="K246" s="149" t="str">
        <f t="shared" si="3"/>
        <v>   ko   </v>
      </c>
    </row>
    <row r="247" ht="15.75" customHeight="1">
      <c r="A247" s="149"/>
      <c r="B247" s="142"/>
      <c r="C247" s="151"/>
      <c r="D247" s="143" t="str">
        <f t="shared" si="1"/>
        <v>ko</v>
      </c>
      <c r="E247" s="149" t="str">
        <f t="shared" si="2"/>
        <v>   ko</v>
      </c>
      <c r="F247" s="149" t="b">
        <f>IFERROR(__xludf.DUMMYFUNCTION("""COMPUTED_VALUE"""),FALSE)</f>
        <v>0</v>
      </c>
      <c r="G247" s="149" t="b">
        <f>IFERROR(__xludf.DUMMYFUNCTION("""COMPUTED_VALUE"""),FALSE)</f>
        <v>0</v>
      </c>
      <c r="H247" s="145"/>
      <c r="K247" s="149" t="str">
        <f t="shared" si="3"/>
        <v>   ko   </v>
      </c>
    </row>
    <row r="248" ht="15.75" customHeight="1">
      <c r="A248" s="149"/>
      <c r="B248" s="142"/>
      <c r="C248" s="151"/>
      <c r="D248" s="143" t="str">
        <f t="shared" si="1"/>
        <v>ko</v>
      </c>
      <c r="E248" s="149" t="str">
        <f t="shared" si="2"/>
        <v>   ko</v>
      </c>
      <c r="F248" s="149" t="b">
        <f>IFERROR(__xludf.DUMMYFUNCTION("""COMPUTED_VALUE"""),FALSE)</f>
        <v>0</v>
      </c>
      <c r="G248" s="149" t="b">
        <f>IFERROR(__xludf.DUMMYFUNCTION("""COMPUTED_VALUE"""),FALSE)</f>
        <v>0</v>
      </c>
      <c r="H248" s="145"/>
      <c r="K248" s="149" t="str">
        <f t="shared" si="3"/>
        <v>   ko   </v>
      </c>
    </row>
    <row r="249" ht="15.75" customHeight="1">
      <c r="A249" s="149"/>
      <c r="B249" s="142"/>
      <c r="C249" s="151"/>
      <c r="D249" s="143" t="str">
        <f t="shared" si="1"/>
        <v>ko</v>
      </c>
      <c r="E249" s="149" t="str">
        <f t="shared" si="2"/>
        <v>   ko</v>
      </c>
      <c r="F249" s="149" t="b">
        <f>IFERROR(__xludf.DUMMYFUNCTION("""COMPUTED_VALUE"""),FALSE)</f>
        <v>0</v>
      </c>
      <c r="G249" s="149" t="b">
        <f>IFERROR(__xludf.DUMMYFUNCTION("""COMPUTED_VALUE"""),FALSE)</f>
        <v>0</v>
      </c>
      <c r="H249" s="145"/>
      <c r="K249" s="149" t="str">
        <f t="shared" si="3"/>
        <v>   ko   </v>
      </c>
    </row>
    <row r="250" ht="15.75" customHeight="1">
      <c r="A250" s="149"/>
      <c r="B250" s="142"/>
      <c r="C250" s="151"/>
      <c r="D250" s="143" t="str">
        <f t="shared" si="1"/>
        <v>ko</v>
      </c>
      <c r="E250" s="149" t="str">
        <f t="shared" si="2"/>
        <v>   ko</v>
      </c>
      <c r="F250" s="149" t="b">
        <f>IFERROR(__xludf.DUMMYFUNCTION("""COMPUTED_VALUE"""),FALSE)</f>
        <v>0</v>
      </c>
      <c r="G250" s="149" t="b">
        <f>IFERROR(__xludf.DUMMYFUNCTION("""COMPUTED_VALUE"""),FALSE)</f>
        <v>0</v>
      </c>
      <c r="H250" s="145"/>
      <c r="K250" s="149" t="str">
        <f t="shared" si="3"/>
        <v>   ko   </v>
      </c>
    </row>
    <row r="251" ht="15.75" customHeight="1">
      <c r="A251" s="149"/>
      <c r="B251" s="142"/>
      <c r="C251" s="151"/>
      <c r="D251" s="143" t="str">
        <f t="shared" si="1"/>
        <v>ko</v>
      </c>
      <c r="E251" s="149" t="str">
        <f t="shared" si="2"/>
        <v>   ko</v>
      </c>
      <c r="F251" s="149" t="b">
        <f>IFERROR(__xludf.DUMMYFUNCTION("""COMPUTED_VALUE"""),FALSE)</f>
        <v>0</v>
      </c>
      <c r="G251" s="149" t="b">
        <f>IFERROR(__xludf.DUMMYFUNCTION("""COMPUTED_VALUE"""),FALSE)</f>
        <v>0</v>
      </c>
      <c r="H251" s="145"/>
      <c r="K251" s="149" t="str">
        <f t="shared" si="3"/>
        <v>   ko   </v>
      </c>
    </row>
    <row r="252" ht="15.75" customHeight="1">
      <c r="A252" s="149"/>
      <c r="B252" s="142"/>
      <c r="C252" s="151"/>
      <c r="D252" s="143" t="str">
        <f t="shared" si="1"/>
        <v>ko</v>
      </c>
      <c r="E252" s="149" t="str">
        <f t="shared" si="2"/>
        <v>   ko</v>
      </c>
      <c r="F252" s="149" t="b">
        <f>IFERROR(__xludf.DUMMYFUNCTION("""COMPUTED_VALUE"""),FALSE)</f>
        <v>0</v>
      </c>
      <c r="G252" s="149" t="b">
        <f>IFERROR(__xludf.DUMMYFUNCTION("""COMPUTED_VALUE"""),FALSE)</f>
        <v>0</v>
      </c>
      <c r="H252" s="145"/>
      <c r="K252" s="149" t="str">
        <f t="shared" si="3"/>
        <v>   ko   </v>
      </c>
    </row>
    <row r="253" ht="15.75" customHeight="1">
      <c r="A253" s="149"/>
      <c r="B253" s="142"/>
      <c r="C253" s="151"/>
      <c r="D253" s="143" t="str">
        <f t="shared" si="1"/>
        <v>ko</v>
      </c>
      <c r="E253" s="149" t="str">
        <f t="shared" si="2"/>
        <v>   ko</v>
      </c>
      <c r="F253" s="149" t="b">
        <f>IFERROR(__xludf.DUMMYFUNCTION("""COMPUTED_VALUE"""),FALSE)</f>
        <v>0</v>
      </c>
      <c r="G253" s="149" t="b">
        <f>IFERROR(__xludf.DUMMYFUNCTION("""COMPUTED_VALUE"""),FALSE)</f>
        <v>0</v>
      </c>
      <c r="H253" s="145"/>
      <c r="K253" s="149" t="str">
        <f t="shared" si="3"/>
        <v>   ko   </v>
      </c>
    </row>
    <row r="254" ht="15.75" customHeight="1">
      <c r="A254" s="149"/>
      <c r="B254" s="142"/>
      <c r="C254" s="151"/>
      <c r="D254" s="143" t="str">
        <f t="shared" si="1"/>
        <v>ko</v>
      </c>
      <c r="E254" s="149" t="str">
        <f t="shared" si="2"/>
        <v>   ko</v>
      </c>
      <c r="F254" s="149" t="b">
        <f>IFERROR(__xludf.DUMMYFUNCTION("""COMPUTED_VALUE"""),FALSE)</f>
        <v>0</v>
      </c>
      <c r="G254" s="149" t="b">
        <f>IFERROR(__xludf.DUMMYFUNCTION("""COMPUTED_VALUE"""),FALSE)</f>
        <v>0</v>
      </c>
      <c r="H254" s="145"/>
      <c r="K254" s="149" t="str">
        <f t="shared" si="3"/>
        <v>   ko   </v>
      </c>
    </row>
    <row r="255" ht="15.75" customHeight="1">
      <c r="A255" s="149"/>
      <c r="B255" s="142"/>
      <c r="C255" s="151"/>
      <c r="D255" s="143" t="str">
        <f t="shared" si="1"/>
        <v>ko</v>
      </c>
      <c r="E255" s="149" t="str">
        <f t="shared" si="2"/>
        <v>   ko</v>
      </c>
      <c r="F255" s="149" t="b">
        <f>IFERROR(__xludf.DUMMYFUNCTION("""COMPUTED_VALUE"""),FALSE)</f>
        <v>0</v>
      </c>
      <c r="G255" s="149" t="b">
        <f>IFERROR(__xludf.DUMMYFUNCTION("""COMPUTED_VALUE"""),FALSE)</f>
        <v>0</v>
      </c>
      <c r="H255" s="145"/>
      <c r="K255" s="149" t="str">
        <f t="shared" si="3"/>
        <v>   ko   </v>
      </c>
    </row>
    <row r="256" ht="15.75" customHeight="1">
      <c r="A256" s="149"/>
      <c r="B256" s="142"/>
      <c r="C256" s="151"/>
      <c r="D256" s="143" t="str">
        <f t="shared" si="1"/>
        <v>ko</v>
      </c>
      <c r="E256" s="149" t="str">
        <f t="shared" si="2"/>
        <v>   ko</v>
      </c>
      <c r="F256" s="149" t="b">
        <f>IFERROR(__xludf.DUMMYFUNCTION("""COMPUTED_VALUE"""),FALSE)</f>
        <v>0</v>
      </c>
      <c r="G256" s="149" t="b">
        <f>IFERROR(__xludf.DUMMYFUNCTION("""COMPUTED_VALUE"""),FALSE)</f>
        <v>0</v>
      </c>
      <c r="H256" s="145"/>
      <c r="K256" s="149" t="str">
        <f t="shared" si="3"/>
        <v>   ko   </v>
      </c>
    </row>
    <row r="257" ht="15.75" customHeight="1">
      <c r="A257" s="149"/>
      <c r="B257" s="142"/>
      <c r="C257" s="151"/>
      <c r="D257" s="143" t="str">
        <f t="shared" si="1"/>
        <v>ko</v>
      </c>
      <c r="E257" s="149" t="str">
        <f t="shared" si="2"/>
        <v>   ko</v>
      </c>
      <c r="F257" s="149" t="b">
        <f>IFERROR(__xludf.DUMMYFUNCTION("""COMPUTED_VALUE"""),FALSE)</f>
        <v>0</v>
      </c>
      <c r="G257" s="149" t="b">
        <f>IFERROR(__xludf.DUMMYFUNCTION("""COMPUTED_VALUE"""),FALSE)</f>
        <v>0</v>
      </c>
      <c r="H257" s="145"/>
      <c r="K257" s="149" t="str">
        <f t="shared" si="3"/>
        <v>   ko   </v>
      </c>
    </row>
    <row r="258" ht="15.75" customHeight="1">
      <c r="A258" s="149"/>
      <c r="B258" s="142"/>
      <c r="C258" s="151"/>
      <c r="D258" s="143" t="str">
        <f t="shared" si="1"/>
        <v>ko</v>
      </c>
      <c r="E258" s="149" t="str">
        <f t="shared" si="2"/>
        <v>   ko</v>
      </c>
      <c r="F258" s="149" t="b">
        <f>IFERROR(__xludf.DUMMYFUNCTION("""COMPUTED_VALUE"""),FALSE)</f>
        <v>0</v>
      </c>
      <c r="G258" s="149" t="b">
        <f>IFERROR(__xludf.DUMMYFUNCTION("""COMPUTED_VALUE"""),FALSE)</f>
        <v>0</v>
      </c>
      <c r="H258" s="145"/>
      <c r="K258" s="149" t="str">
        <f t="shared" si="3"/>
        <v>   ko   </v>
      </c>
    </row>
    <row r="259" ht="15.75" customHeight="1">
      <c r="A259" s="149"/>
      <c r="B259" s="142"/>
      <c r="C259" s="151"/>
      <c r="D259" s="143" t="str">
        <f t="shared" si="1"/>
        <v>ko</v>
      </c>
      <c r="E259" s="149" t="str">
        <f t="shared" si="2"/>
        <v>   ko</v>
      </c>
      <c r="F259" s="149" t="b">
        <f>IFERROR(__xludf.DUMMYFUNCTION("""COMPUTED_VALUE"""),FALSE)</f>
        <v>0</v>
      </c>
      <c r="G259" s="149" t="b">
        <f>IFERROR(__xludf.DUMMYFUNCTION("""COMPUTED_VALUE"""),FALSE)</f>
        <v>0</v>
      </c>
      <c r="H259" s="145"/>
      <c r="K259" s="149" t="str">
        <f t="shared" si="3"/>
        <v>   ko   </v>
      </c>
    </row>
    <row r="260" ht="15.75" customHeight="1">
      <c r="A260" s="149"/>
      <c r="B260" s="142"/>
      <c r="C260" s="151"/>
      <c r="D260" s="143" t="str">
        <f t="shared" si="1"/>
        <v>ko</v>
      </c>
      <c r="E260" s="149" t="str">
        <f t="shared" si="2"/>
        <v>   ko</v>
      </c>
      <c r="F260" s="149" t="b">
        <f>IFERROR(__xludf.DUMMYFUNCTION("""COMPUTED_VALUE"""),FALSE)</f>
        <v>0</v>
      </c>
      <c r="G260" s="149" t="b">
        <f>IFERROR(__xludf.DUMMYFUNCTION("""COMPUTED_VALUE"""),FALSE)</f>
        <v>0</v>
      </c>
      <c r="H260" s="145"/>
      <c r="K260" s="149" t="str">
        <f t="shared" si="3"/>
        <v>   ko   </v>
      </c>
    </row>
    <row r="261" ht="15.75" customHeight="1">
      <c r="A261" s="149"/>
      <c r="B261" s="142"/>
      <c r="C261" s="151"/>
      <c r="D261" s="143" t="str">
        <f t="shared" si="1"/>
        <v>ko</v>
      </c>
      <c r="E261" s="149" t="str">
        <f t="shared" si="2"/>
        <v>   ko</v>
      </c>
      <c r="F261" s="149" t="b">
        <f>IFERROR(__xludf.DUMMYFUNCTION("""COMPUTED_VALUE"""),FALSE)</f>
        <v>0</v>
      </c>
      <c r="G261" s="149" t="b">
        <f>IFERROR(__xludf.DUMMYFUNCTION("""COMPUTED_VALUE"""),FALSE)</f>
        <v>0</v>
      </c>
      <c r="H261" s="145"/>
      <c r="K261" s="149" t="str">
        <f t="shared" si="3"/>
        <v>   ko   </v>
      </c>
    </row>
    <row r="262" ht="15.75" customHeight="1">
      <c r="A262" s="149"/>
      <c r="B262" s="142"/>
      <c r="C262" s="151"/>
      <c r="D262" s="143" t="str">
        <f t="shared" si="1"/>
        <v>ko</v>
      </c>
      <c r="E262" s="149" t="str">
        <f t="shared" si="2"/>
        <v>   ko</v>
      </c>
      <c r="F262" s="149" t="b">
        <f>IFERROR(__xludf.DUMMYFUNCTION("""COMPUTED_VALUE"""),FALSE)</f>
        <v>0</v>
      </c>
      <c r="G262" s="149" t="b">
        <f>IFERROR(__xludf.DUMMYFUNCTION("""COMPUTED_VALUE"""),FALSE)</f>
        <v>0</v>
      </c>
      <c r="H262" s="145"/>
      <c r="K262" s="149" t="str">
        <f t="shared" si="3"/>
        <v>   ko   </v>
      </c>
    </row>
    <row r="263" ht="15.75" customHeight="1">
      <c r="A263" s="149"/>
      <c r="B263" s="142"/>
      <c r="C263" s="151"/>
      <c r="D263" s="143" t="str">
        <f t="shared" si="1"/>
        <v>ko</v>
      </c>
      <c r="E263" s="149" t="str">
        <f t="shared" si="2"/>
        <v>   ko</v>
      </c>
      <c r="F263" s="149" t="b">
        <f>IFERROR(__xludf.DUMMYFUNCTION("""COMPUTED_VALUE"""),FALSE)</f>
        <v>0</v>
      </c>
      <c r="G263" s="149" t="b">
        <f>IFERROR(__xludf.DUMMYFUNCTION("""COMPUTED_VALUE"""),FALSE)</f>
        <v>0</v>
      </c>
      <c r="H263" s="145"/>
      <c r="K263" s="149" t="str">
        <f t="shared" si="3"/>
        <v>   ko   </v>
      </c>
    </row>
    <row r="264" ht="15.75" customHeight="1">
      <c r="A264" s="149"/>
      <c r="B264" s="142"/>
      <c r="C264" s="151"/>
      <c r="D264" s="143" t="str">
        <f t="shared" si="1"/>
        <v>ko</v>
      </c>
      <c r="E264" s="149" t="str">
        <f t="shared" si="2"/>
        <v>   ko</v>
      </c>
      <c r="F264" s="149" t="b">
        <f>IFERROR(__xludf.DUMMYFUNCTION("""COMPUTED_VALUE"""),FALSE)</f>
        <v>0</v>
      </c>
      <c r="G264" s="149" t="b">
        <f>IFERROR(__xludf.DUMMYFUNCTION("""COMPUTED_VALUE"""),FALSE)</f>
        <v>0</v>
      </c>
      <c r="H264" s="145"/>
      <c r="K264" s="149" t="str">
        <f t="shared" si="3"/>
        <v>   ko   </v>
      </c>
    </row>
    <row r="265" ht="15.75" customHeight="1">
      <c r="A265" s="149"/>
      <c r="B265" s="142"/>
      <c r="C265" s="151"/>
      <c r="D265" s="143" t="str">
        <f t="shared" si="1"/>
        <v>ko</v>
      </c>
      <c r="E265" s="149" t="str">
        <f t="shared" si="2"/>
        <v>   ko</v>
      </c>
      <c r="F265" s="149" t="b">
        <f>IFERROR(__xludf.DUMMYFUNCTION("""COMPUTED_VALUE"""),FALSE)</f>
        <v>0</v>
      </c>
      <c r="G265" s="149" t="b">
        <f>IFERROR(__xludf.DUMMYFUNCTION("""COMPUTED_VALUE"""),FALSE)</f>
        <v>0</v>
      </c>
      <c r="H265" s="145"/>
      <c r="K265" s="149" t="str">
        <f t="shared" si="3"/>
        <v>   ko   </v>
      </c>
    </row>
    <row r="266" ht="15.75" customHeight="1">
      <c r="A266" s="149"/>
      <c r="B266" s="142"/>
      <c r="C266" s="151"/>
      <c r="D266" s="143" t="str">
        <f t="shared" si="1"/>
        <v>ko</v>
      </c>
      <c r="E266" s="149" t="str">
        <f t="shared" si="2"/>
        <v>   ko</v>
      </c>
      <c r="F266" s="149" t="b">
        <f>IFERROR(__xludf.DUMMYFUNCTION("""COMPUTED_VALUE"""),FALSE)</f>
        <v>0</v>
      </c>
      <c r="G266" s="149" t="b">
        <f>IFERROR(__xludf.DUMMYFUNCTION("""COMPUTED_VALUE"""),FALSE)</f>
        <v>0</v>
      </c>
      <c r="H266" s="145"/>
      <c r="K266" s="149" t="str">
        <f t="shared" si="3"/>
        <v>   ko   </v>
      </c>
    </row>
    <row r="267" ht="15.75" customHeight="1">
      <c r="A267" s="149"/>
      <c r="B267" s="142"/>
      <c r="C267" s="151"/>
      <c r="D267" s="143" t="str">
        <f t="shared" si="1"/>
        <v>ko</v>
      </c>
      <c r="E267" s="149" t="str">
        <f t="shared" si="2"/>
        <v>   ko</v>
      </c>
      <c r="F267" s="149" t="b">
        <f>IFERROR(__xludf.DUMMYFUNCTION("""COMPUTED_VALUE"""),FALSE)</f>
        <v>0</v>
      </c>
      <c r="G267" s="149" t="b">
        <f>IFERROR(__xludf.DUMMYFUNCTION("""COMPUTED_VALUE"""),FALSE)</f>
        <v>0</v>
      </c>
      <c r="H267" s="145"/>
      <c r="K267" s="149" t="str">
        <f t="shared" si="3"/>
        <v>   ko   </v>
      </c>
    </row>
    <row r="268" ht="15.75" customHeight="1">
      <c r="A268" s="149"/>
      <c r="B268" s="142"/>
      <c r="C268" s="151"/>
      <c r="D268" s="143" t="str">
        <f t="shared" si="1"/>
        <v>ko</v>
      </c>
      <c r="E268" s="149" t="str">
        <f t="shared" si="2"/>
        <v>   ko</v>
      </c>
      <c r="F268" s="149" t="b">
        <f>IFERROR(__xludf.DUMMYFUNCTION("""COMPUTED_VALUE"""),FALSE)</f>
        <v>0</v>
      </c>
      <c r="G268" s="149" t="b">
        <f>IFERROR(__xludf.DUMMYFUNCTION("""COMPUTED_VALUE"""),FALSE)</f>
        <v>0</v>
      </c>
      <c r="H268" s="145"/>
      <c r="K268" s="149" t="str">
        <f t="shared" si="3"/>
        <v>   ko   </v>
      </c>
    </row>
    <row r="269" ht="15.75" customHeight="1">
      <c r="A269" s="149"/>
      <c r="B269" s="142"/>
      <c r="C269" s="151"/>
      <c r="D269" s="143" t="str">
        <f t="shared" si="1"/>
        <v>ko</v>
      </c>
      <c r="E269" s="149" t="str">
        <f t="shared" si="2"/>
        <v>   ko</v>
      </c>
      <c r="F269" s="149" t="b">
        <f>IFERROR(__xludf.DUMMYFUNCTION("""COMPUTED_VALUE"""),FALSE)</f>
        <v>0</v>
      </c>
      <c r="G269" s="149" t="b">
        <f>IFERROR(__xludf.DUMMYFUNCTION("""COMPUTED_VALUE"""),FALSE)</f>
        <v>0</v>
      </c>
      <c r="H269" s="145"/>
      <c r="K269" s="149" t="str">
        <f t="shared" si="3"/>
        <v>   ko   </v>
      </c>
    </row>
    <row r="270" ht="15.75" customHeight="1">
      <c r="A270" s="149"/>
      <c r="B270" s="142"/>
      <c r="C270" s="151"/>
      <c r="D270" s="143" t="str">
        <f t="shared" si="1"/>
        <v>ko</v>
      </c>
      <c r="E270" s="149" t="str">
        <f t="shared" si="2"/>
        <v>   ko</v>
      </c>
      <c r="F270" s="149" t="b">
        <f>IFERROR(__xludf.DUMMYFUNCTION("""COMPUTED_VALUE"""),FALSE)</f>
        <v>0</v>
      </c>
      <c r="G270" s="149" t="b">
        <f>IFERROR(__xludf.DUMMYFUNCTION("""COMPUTED_VALUE"""),FALSE)</f>
        <v>0</v>
      </c>
      <c r="H270" s="145"/>
      <c r="K270" s="149" t="str">
        <f t="shared" si="3"/>
        <v>   ko   </v>
      </c>
    </row>
    <row r="271" ht="15.75" customHeight="1">
      <c r="A271" s="149"/>
      <c r="B271" s="142"/>
      <c r="C271" s="151"/>
      <c r="D271" s="143" t="str">
        <f t="shared" si="1"/>
        <v>ko</v>
      </c>
      <c r="E271" s="149" t="str">
        <f t="shared" si="2"/>
        <v>   ko</v>
      </c>
      <c r="F271" s="149" t="b">
        <f>IFERROR(__xludf.DUMMYFUNCTION("""COMPUTED_VALUE"""),FALSE)</f>
        <v>0</v>
      </c>
      <c r="G271" s="149" t="b">
        <f>IFERROR(__xludf.DUMMYFUNCTION("""COMPUTED_VALUE"""),FALSE)</f>
        <v>0</v>
      </c>
      <c r="H271" s="145"/>
      <c r="K271" s="149" t="str">
        <f t="shared" si="3"/>
        <v>   ko   </v>
      </c>
    </row>
    <row r="272" ht="15.75" customHeight="1">
      <c r="A272" s="149"/>
      <c r="B272" s="142"/>
      <c r="C272" s="151"/>
      <c r="D272" s="143" t="str">
        <f t="shared" si="1"/>
        <v>ko</v>
      </c>
      <c r="E272" s="149" t="str">
        <f t="shared" si="2"/>
        <v>   ko</v>
      </c>
      <c r="F272" s="149" t="b">
        <f>IFERROR(__xludf.DUMMYFUNCTION("""COMPUTED_VALUE"""),FALSE)</f>
        <v>0</v>
      </c>
      <c r="G272" s="149" t="b">
        <f>IFERROR(__xludf.DUMMYFUNCTION("""COMPUTED_VALUE"""),FALSE)</f>
        <v>0</v>
      </c>
      <c r="H272" s="145"/>
      <c r="K272" s="149" t="str">
        <f t="shared" si="3"/>
        <v>   ko   </v>
      </c>
    </row>
    <row r="273" ht="15.75" customHeight="1">
      <c r="A273" s="149"/>
      <c r="B273" s="142"/>
      <c r="C273" s="151"/>
      <c r="D273" s="143" t="str">
        <f t="shared" si="1"/>
        <v>ko</v>
      </c>
      <c r="E273" s="149" t="str">
        <f t="shared" si="2"/>
        <v>   ko</v>
      </c>
      <c r="F273" s="149" t="b">
        <f>IFERROR(__xludf.DUMMYFUNCTION("""COMPUTED_VALUE"""),FALSE)</f>
        <v>0</v>
      </c>
      <c r="G273" s="149" t="b">
        <f>IFERROR(__xludf.DUMMYFUNCTION("""COMPUTED_VALUE"""),FALSE)</f>
        <v>0</v>
      </c>
      <c r="H273" s="145"/>
      <c r="K273" s="149" t="str">
        <f t="shared" si="3"/>
        <v>   ko   </v>
      </c>
    </row>
    <row r="274" ht="15.75" customHeight="1">
      <c r="A274" s="149"/>
      <c r="B274" s="142"/>
      <c r="C274" s="151"/>
      <c r="D274" s="143" t="str">
        <f t="shared" si="1"/>
        <v>ko</v>
      </c>
      <c r="E274" s="149" t="str">
        <f t="shared" si="2"/>
        <v>   ko</v>
      </c>
      <c r="F274" s="149" t="b">
        <f>IFERROR(__xludf.DUMMYFUNCTION("""COMPUTED_VALUE"""),FALSE)</f>
        <v>0</v>
      </c>
      <c r="G274" s="149" t="b">
        <f>IFERROR(__xludf.DUMMYFUNCTION("""COMPUTED_VALUE"""),FALSE)</f>
        <v>0</v>
      </c>
      <c r="H274" s="145"/>
      <c r="K274" s="149" t="str">
        <f t="shared" si="3"/>
        <v>   ko   </v>
      </c>
    </row>
    <row r="275" ht="15.75" customHeight="1">
      <c r="A275" s="149"/>
      <c r="B275" s="142"/>
      <c r="C275" s="151"/>
      <c r="D275" s="143" t="str">
        <f t="shared" si="1"/>
        <v>ko</v>
      </c>
      <c r="E275" s="149" t="str">
        <f t="shared" si="2"/>
        <v>   ko</v>
      </c>
      <c r="F275" s="149" t="b">
        <f>IFERROR(__xludf.DUMMYFUNCTION("""COMPUTED_VALUE"""),FALSE)</f>
        <v>0</v>
      </c>
      <c r="G275" s="149" t="b">
        <f>IFERROR(__xludf.DUMMYFUNCTION("""COMPUTED_VALUE"""),FALSE)</f>
        <v>0</v>
      </c>
      <c r="H275" s="145"/>
      <c r="K275" s="149" t="str">
        <f t="shared" si="3"/>
        <v>   ko   </v>
      </c>
    </row>
    <row r="276" ht="15.75" customHeight="1">
      <c r="A276" s="149"/>
      <c r="B276" s="142"/>
      <c r="C276" s="151"/>
      <c r="D276" s="143" t="str">
        <f t="shared" si="1"/>
        <v>ko</v>
      </c>
      <c r="E276" s="149" t="str">
        <f t="shared" si="2"/>
        <v>   ko</v>
      </c>
      <c r="F276" s="149" t="b">
        <f>IFERROR(__xludf.DUMMYFUNCTION("""COMPUTED_VALUE"""),FALSE)</f>
        <v>0</v>
      </c>
      <c r="G276" s="149" t="b">
        <f>IFERROR(__xludf.DUMMYFUNCTION("""COMPUTED_VALUE"""),FALSE)</f>
        <v>0</v>
      </c>
      <c r="H276" s="145"/>
      <c r="K276" s="149" t="str">
        <f t="shared" si="3"/>
        <v>   ko   </v>
      </c>
    </row>
    <row r="277" ht="15.75" customHeight="1">
      <c r="A277" s="149"/>
      <c r="B277" s="142"/>
      <c r="C277" s="151"/>
      <c r="D277" s="143" t="str">
        <f t="shared" si="1"/>
        <v>ko</v>
      </c>
      <c r="E277" s="149" t="str">
        <f t="shared" si="2"/>
        <v>   ko</v>
      </c>
      <c r="F277" s="149" t="b">
        <f>IFERROR(__xludf.DUMMYFUNCTION("""COMPUTED_VALUE"""),FALSE)</f>
        <v>0</v>
      </c>
      <c r="G277" s="149" t="b">
        <f>IFERROR(__xludf.DUMMYFUNCTION("""COMPUTED_VALUE"""),FALSE)</f>
        <v>0</v>
      </c>
      <c r="H277" s="145"/>
      <c r="K277" s="149" t="str">
        <f t="shared" si="3"/>
        <v>   ko   </v>
      </c>
    </row>
    <row r="278" ht="15.75" customHeight="1">
      <c r="A278" s="149"/>
      <c r="B278" s="142"/>
      <c r="C278" s="151"/>
      <c r="D278" s="143" t="str">
        <f t="shared" si="1"/>
        <v>ko</v>
      </c>
      <c r="E278" s="149" t="str">
        <f t="shared" si="2"/>
        <v>   ko</v>
      </c>
      <c r="F278" s="149" t="b">
        <f>IFERROR(__xludf.DUMMYFUNCTION("""COMPUTED_VALUE"""),FALSE)</f>
        <v>0</v>
      </c>
      <c r="G278" s="149" t="b">
        <f>IFERROR(__xludf.DUMMYFUNCTION("""COMPUTED_VALUE"""),FALSE)</f>
        <v>0</v>
      </c>
      <c r="H278" s="145"/>
      <c r="K278" s="149" t="str">
        <f t="shared" si="3"/>
        <v>   ko   </v>
      </c>
    </row>
    <row r="279" ht="15.75" customHeight="1">
      <c r="A279" s="149"/>
      <c r="B279" s="142"/>
      <c r="C279" s="151"/>
      <c r="D279" s="143" t="str">
        <f t="shared" si="1"/>
        <v>ko</v>
      </c>
      <c r="E279" s="149" t="str">
        <f t="shared" si="2"/>
        <v>   ko</v>
      </c>
      <c r="F279" s="149" t="b">
        <f>IFERROR(__xludf.DUMMYFUNCTION("""COMPUTED_VALUE"""),FALSE)</f>
        <v>0</v>
      </c>
      <c r="G279" s="149" t="b">
        <f>IFERROR(__xludf.DUMMYFUNCTION("""COMPUTED_VALUE"""),FALSE)</f>
        <v>0</v>
      </c>
      <c r="H279" s="145"/>
      <c r="K279" s="149" t="str">
        <f t="shared" si="3"/>
        <v>   ko   </v>
      </c>
    </row>
    <row r="280" ht="15.75" customHeight="1">
      <c r="A280" s="149"/>
      <c r="B280" s="142"/>
      <c r="C280" s="151"/>
      <c r="D280" s="143" t="str">
        <f t="shared" si="1"/>
        <v>ko</v>
      </c>
      <c r="E280" s="149" t="str">
        <f t="shared" si="2"/>
        <v>   ko</v>
      </c>
      <c r="F280" s="149" t="b">
        <f>IFERROR(__xludf.DUMMYFUNCTION("""COMPUTED_VALUE"""),FALSE)</f>
        <v>0</v>
      </c>
      <c r="G280" s="149" t="b">
        <f>IFERROR(__xludf.DUMMYFUNCTION("""COMPUTED_VALUE"""),FALSE)</f>
        <v>0</v>
      </c>
      <c r="H280" s="145"/>
      <c r="K280" s="149" t="str">
        <f t="shared" si="3"/>
        <v>   ko   </v>
      </c>
    </row>
    <row r="281" ht="15.75" customHeight="1">
      <c r="A281" s="149"/>
      <c r="B281" s="142"/>
      <c r="C281" s="151"/>
      <c r="D281" s="143" t="str">
        <f t="shared" si="1"/>
        <v>ko</v>
      </c>
      <c r="E281" s="149" t="str">
        <f t="shared" si="2"/>
        <v>   ko</v>
      </c>
      <c r="F281" s="149" t="b">
        <f>IFERROR(__xludf.DUMMYFUNCTION("""COMPUTED_VALUE"""),FALSE)</f>
        <v>0</v>
      </c>
      <c r="G281" s="149" t="b">
        <f>IFERROR(__xludf.DUMMYFUNCTION("""COMPUTED_VALUE"""),FALSE)</f>
        <v>0</v>
      </c>
      <c r="H281" s="145"/>
      <c r="K281" s="149" t="str">
        <f t="shared" si="3"/>
        <v>   ko   </v>
      </c>
    </row>
    <row r="282" ht="15.75" customHeight="1">
      <c r="A282" s="149"/>
      <c r="B282" s="142"/>
      <c r="C282" s="151"/>
      <c r="D282" s="143" t="str">
        <f t="shared" si="1"/>
        <v>ko</v>
      </c>
      <c r="E282" s="149" t="str">
        <f t="shared" si="2"/>
        <v>   ko</v>
      </c>
      <c r="F282" s="149" t="b">
        <f>IFERROR(__xludf.DUMMYFUNCTION("""COMPUTED_VALUE"""),FALSE)</f>
        <v>0</v>
      </c>
      <c r="G282" s="149" t="b">
        <f>IFERROR(__xludf.DUMMYFUNCTION("""COMPUTED_VALUE"""),FALSE)</f>
        <v>0</v>
      </c>
      <c r="H282" s="145"/>
      <c r="K282" s="149" t="str">
        <f t="shared" si="3"/>
        <v>   ko   </v>
      </c>
    </row>
    <row r="283" ht="15.75" customHeight="1">
      <c r="A283" s="149"/>
      <c r="B283" s="142"/>
      <c r="C283" s="151"/>
      <c r="D283" s="143" t="str">
        <f t="shared" si="1"/>
        <v>ko</v>
      </c>
      <c r="E283" s="149" t="str">
        <f t="shared" si="2"/>
        <v>   ko</v>
      </c>
      <c r="F283" s="149" t="b">
        <f>IFERROR(__xludf.DUMMYFUNCTION("""COMPUTED_VALUE"""),FALSE)</f>
        <v>0</v>
      </c>
      <c r="G283" s="149" t="b">
        <f>IFERROR(__xludf.DUMMYFUNCTION("""COMPUTED_VALUE"""),FALSE)</f>
        <v>0</v>
      </c>
      <c r="H283" s="145"/>
      <c r="K283" s="149" t="str">
        <f t="shared" si="3"/>
        <v>   ko   </v>
      </c>
    </row>
    <row r="284" ht="15.75" customHeight="1">
      <c r="A284" s="149"/>
      <c r="B284" s="142"/>
      <c r="C284" s="151"/>
      <c r="D284" s="143" t="str">
        <f t="shared" si="1"/>
        <v>ko</v>
      </c>
      <c r="E284" s="149" t="str">
        <f t="shared" si="2"/>
        <v>   ko</v>
      </c>
      <c r="F284" s="149" t="b">
        <f>IFERROR(__xludf.DUMMYFUNCTION("""COMPUTED_VALUE"""),FALSE)</f>
        <v>0</v>
      </c>
      <c r="G284" s="149" t="b">
        <f>IFERROR(__xludf.DUMMYFUNCTION("""COMPUTED_VALUE"""),FALSE)</f>
        <v>0</v>
      </c>
      <c r="H284" s="145"/>
      <c r="K284" s="149" t="str">
        <f t="shared" si="3"/>
        <v>   ko   </v>
      </c>
    </row>
    <row r="285" ht="15.75" customHeight="1">
      <c r="A285" s="149"/>
      <c r="B285" s="142"/>
      <c r="C285" s="151"/>
      <c r="D285" s="143" t="str">
        <f t="shared" si="1"/>
        <v>ko</v>
      </c>
      <c r="E285" s="149" t="str">
        <f t="shared" si="2"/>
        <v>   ko</v>
      </c>
      <c r="F285" s="149" t="b">
        <f>IFERROR(__xludf.DUMMYFUNCTION("""COMPUTED_VALUE"""),FALSE)</f>
        <v>0</v>
      </c>
      <c r="G285" s="149" t="b">
        <f>IFERROR(__xludf.DUMMYFUNCTION("""COMPUTED_VALUE"""),FALSE)</f>
        <v>0</v>
      </c>
      <c r="H285" s="145"/>
      <c r="K285" s="149" t="str">
        <f t="shared" si="3"/>
        <v>   ko   </v>
      </c>
    </row>
    <row r="286" ht="15.75" customHeight="1">
      <c r="A286" s="149"/>
      <c r="B286" s="142"/>
      <c r="C286" s="151"/>
      <c r="D286" s="143" t="str">
        <f t="shared" si="1"/>
        <v>ko</v>
      </c>
      <c r="E286" s="149" t="str">
        <f t="shared" si="2"/>
        <v>   ko</v>
      </c>
      <c r="F286" s="149" t="b">
        <f>IFERROR(__xludf.DUMMYFUNCTION("""COMPUTED_VALUE"""),FALSE)</f>
        <v>0</v>
      </c>
      <c r="G286" s="149" t="b">
        <f>IFERROR(__xludf.DUMMYFUNCTION("""COMPUTED_VALUE"""),FALSE)</f>
        <v>0</v>
      </c>
      <c r="H286" s="145"/>
      <c r="K286" s="149" t="str">
        <f t="shared" si="3"/>
        <v>   ko   </v>
      </c>
    </row>
    <row r="287" ht="15.75" customHeight="1">
      <c r="A287" s="149"/>
      <c r="B287" s="142"/>
      <c r="C287" s="151"/>
      <c r="D287" s="143" t="str">
        <f t="shared" si="1"/>
        <v>ko</v>
      </c>
      <c r="E287" s="149" t="str">
        <f t="shared" si="2"/>
        <v>   ko</v>
      </c>
      <c r="F287" s="149" t="b">
        <f>IFERROR(__xludf.DUMMYFUNCTION("""COMPUTED_VALUE"""),FALSE)</f>
        <v>0</v>
      </c>
      <c r="G287" s="149" t="b">
        <f>IFERROR(__xludf.DUMMYFUNCTION("""COMPUTED_VALUE"""),FALSE)</f>
        <v>0</v>
      </c>
      <c r="H287" s="145"/>
      <c r="K287" s="149" t="str">
        <f t="shared" si="3"/>
        <v>   ko   </v>
      </c>
    </row>
    <row r="288" ht="15.75" customHeight="1">
      <c r="A288" s="149"/>
      <c r="B288" s="142"/>
      <c r="C288" s="151"/>
      <c r="D288" s="143" t="str">
        <f t="shared" si="1"/>
        <v>ko</v>
      </c>
      <c r="E288" s="149" t="str">
        <f t="shared" si="2"/>
        <v>   ko</v>
      </c>
      <c r="F288" s="149" t="b">
        <f>IFERROR(__xludf.DUMMYFUNCTION("""COMPUTED_VALUE"""),FALSE)</f>
        <v>0</v>
      </c>
      <c r="G288" s="149" t="b">
        <f>IFERROR(__xludf.DUMMYFUNCTION("""COMPUTED_VALUE"""),FALSE)</f>
        <v>0</v>
      </c>
      <c r="H288" s="145"/>
      <c r="K288" s="149" t="str">
        <f t="shared" si="3"/>
        <v>   ko   </v>
      </c>
    </row>
    <row r="289" ht="15.75" customHeight="1">
      <c r="A289" s="149"/>
      <c r="B289" s="142"/>
      <c r="C289" s="151"/>
      <c r="D289" s="143" t="str">
        <f t="shared" si="1"/>
        <v>ko</v>
      </c>
      <c r="E289" s="149" t="str">
        <f t="shared" si="2"/>
        <v>   ko</v>
      </c>
      <c r="F289" s="149" t="b">
        <f>IFERROR(__xludf.DUMMYFUNCTION("""COMPUTED_VALUE"""),FALSE)</f>
        <v>0</v>
      </c>
      <c r="G289" s="149" t="b">
        <f>IFERROR(__xludf.DUMMYFUNCTION("""COMPUTED_VALUE"""),FALSE)</f>
        <v>0</v>
      </c>
      <c r="H289" s="145"/>
      <c r="K289" s="149" t="str">
        <f t="shared" si="3"/>
        <v>   ko   </v>
      </c>
    </row>
    <row r="290" ht="15.75" customHeight="1">
      <c r="A290" s="149"/>
      <c r="B290" s="142"/>
      <c r="C290" s="151"/>
      <c r="D290" s="143" t="str">
        <f t="shared" si="1"/>
        <v>ko</v>
      </c>
      <c r="E290" s="149" t="str">
        <f t="shared" si="2"/>
        <v>   ko</v>
      </c>
      <c r="F290" s="149" t="b">
        <f>IFERROR(__xludf.DUMMYFUNCTION("""COMPUTED_VALUE"""),FALSE)</f>
        <v>0</v>
      </c>
      <c r="G290" s="149" t="b">
        <f>IFERROR(__xludf.DUMMYFUNCTION("""COMPUTED_VALUE"""),FALSE)</f>
        <v>0</v>
      </c>
      <c r="H290" s="145"/>
      <c r="K290" s="149" t="str">
        <f t="shared" si="3"/>
        <v>   ko   </v>
      </c>
    </row>
    <row r="291" ht="15.75" customHeight="1">
      <c r="A291" s="149"/>
      <c r="B291" s="142"/>
      <c r="C291" s="151"/>
      <c r="D291" s="143" t="str">
        <f t="shared" si="1"/>
        <v>ko</v>
      </c>
      <c r="E291" s="149" t="str">
        <f t="shared" si="2"/>
        <v>   ko</v>
      </c>
      <c r="F291" s="149" t="b">
        <f>IFERROR(__xludf.DUMMYFUNCTION("""COMPUTED_VALUE"""),FALSE)</f>
        <v>0</v>
      </c>
      <c r="G291" s="149" t="b">
        <f>IFERROR(__xludf.DUMMYFUNCTION("""COMPUTED_VALUE"""),FALSE)</f>
        <v>0</v>
      </c>
      <c r="H291" s="145"/>
      <c r="K291" s="149" t="str">
        <f t="shared" si="3"/>
        <v>   ko   </v>
      </c>
    </row>
    <row r="292" ht="15.75" customHeight="1">
      <c r="A292" s="149"/>
      <c r="B292" s="142"/>
      <c r="C292" s="151"/>
      <c r="D292" s="143" t="str">
        <f t="shared" si="1"/>
        <v>ko</v>
      </c>
      <c r="E292" s="149" t="str">
        <f t="shared" si="2"/>
        <v>   ko</v>
      </c>
      <c r="F292" s="149" t="b">
        <f>IFERROR(__xludf.DUMMYFUNCTION("""COMPUTED_VALUE"""),FALSE)</f>
        <v>0</v>
      </c>
      <c r="G292" s="149" t="b">
        <f>IFERROR(__xludf.DUMMYFUNCTION("""COMPUTED_VALUE"""),FALSE)</f>
        <v>0</v>
      </c>
      <c r="H292" s="145"/>
      <c r="K292" s="149" t="str">
        <f t="shared" si="3"/>
        <v>   ko   </v>
      </c>
    </row>
    <row r="293" ht="15.75" customHeight="1">
      <c r="A293" s="149"/>
      <c r="B293" s="142"/>
      <c r="C293" s="151"/>
      <c r="D293" s="143" t="str">
        <f t="shared" si="1"/>
        <v>ko</v>
      </c>
      <c r="E293" s="149" t="str">
        <f t="shared" si="2"/>
        <v>   ko</v>
      </c>
      <c r="F293" s="149" t="b">
        <f>IFERROR(__xludf.DUMMYFUNCTION("""COMPUTED_VALUE"""),FALSE)</f>
        <v>0</v>
      </c>
      <c r="G293" s="149" t="b">
        <f>IFERROR(__xludf.DUMMYFUNCTION("""COMPUTED_VALUE"""),FALSE)</f>
        <v>0</v>
      </c>
      <c r="H293" s="145"/>
      <c r="K293" s="149" t="str">
        <f t="shared" si="3"/>
        <v>   ko   </v>
      </c>
    </row>
    <row r="294" ht="15.75" customHeight="1">
      <c r="A294" s="149"/>
      <c r="B294" s="142"/>
      <c r="C294" s="151"/>
      <c r="D294" s="143" t="str">
        <f t="shared" si="1"/>
        <v>ko</v>
      </c>
      <c r="E294" s="149" t="str">
        <f t="shared" si="2"/>
        <v>   ko</v>
      </c>
      <c r="F294" s="149" t="b">
        <f>IFERROR(__xludf.DUMMYFUNCTION("""COMPUTED_VALUE"""),FALSE)</f>
        <v>0</v>
      </c>
      <c r="G294" s="149" t="b">
        <f>IFERROR(__xludf.DUMMYFUNCTION("""COMPUTED_VALUE"""),FALSE)</f>
        <v>0</v>
      </c>
      <c r="H294" s="145"/>
      <c r="K294" s="149" t="str">
        <f t="shared" si="3"/>
        <v>   ko   </v>
      </c>
    </row>
    <row r="295" ht="15.75" customHeight="1">
      <c r="A295" s="149"/>
      <c r="B295" s="142"/>
      <c r="C295" s="151"/>
      <c r="D295" s="143" t="str">
        <f t="shared" si="1"/>
        <v>ko</v>
      </c>
      <c r="E295" s="149" t="str">
        <f t="shared" si="2"/>
        <v>   ko</v>
      </c>
      <c r="F295" s="149" t="b">
        <f>IFERROR(__xludf.DUMMYFUNCTION("""COMPUTED_VALUE"""),FALSE)</f>
        <v>0</v>
      </c>
      <c r="G295" s="149" t="b">
        <f>IFERROR(__xludf.DUMMYFUNCTION("""COMPUTED_VALUE"""),FALSE)</f>
        <v>0</v>
      </c>
      <c r="H295" s="145"/>
      <c r="K295" s="149" t="str">
        <f t="shared" si="3"/>
        <v>   ko   </v>
      </c>
    </row>
    <row r="296" ht="15.75" customHeight="1">
      <c r="A296" s="149"/>
      <c r="B296" s="142"/>
      <c r="C296" s="151"/>
      <c r="D296" s="143" t="str">
        <f t="shared" si="1"/>
        <v>ko</v>
      </c>
      <c r="E296" s="149" t="str">
        <f t="shared" si="2"/>
        <v>   ko</v>
      </c>
      <c r="F296" s="149" t="b">
        <f>IFERROR(__xludf.DUMMYFUNCTION("""COMPUTED_VALUE"""),FALSE)</f>
        <v>0</v>
      </c>
      <c r="G296" s="149" t="b">
        <f>IFERROR(__xludf.DUMMYFUNCTION("""COMPUTED_VALUE"""),FALSE)</f>
        <v>0</v>
      </c>
      <c r="H296" s="145"/>
      <c r="K296" s="149" t="str">
        <f t="shared" si="3"/>
        <v>   ko   </v>
      </c>
    </row>
    <row r="297" ht="15.75" customHeight="1">
      <c r="A297" s="149"/>
      <c r="B297" s="142"/>
      <c r="C297" s="151"/>
      <c r="D297" s="143" t="str">
        <f t="shared" si="1"/>
        <v>ko</v>
      </c>
      <c r="E297" s="149" t="str">
        <f t="shared" si="2"/>
        <v>   ko</v>
      </c>
      <c r="F297" s="149" t="b">
        <f>IFERROR(__xludf.DUMMYFUNCTION("""COMPUTED_VALUE"""),FALSE)</f>
        <v>0</v>
      </c>
      <c r="G297" s="149" t="b">
        <f>IFERROR(__xludf.DUMMYFUNCTION("""COMPUTED_VALUE"""),FALSE)</f>
        <v>0</v>
      </c>
      <c r="H297" s="145"/>
      <c r="K297" s="149" t="str">
        <f t="shared" si="3"/>
        <v>   ko   </v>
      </c>
    </row>
    <row r="298" ht="15.75" customHeight="1">
      <c r="A298" s="149"/>
      <c r="B298" s="142"/>
      <c r="C298" s="151"/>
      <c r="D298" s="143" t="str">
        <f t="shared" si="1"/>
        <v>ko</v>
      </c>
      <c r="E298" s="149" t="str">
        <f t="shared" si="2"/>
        <v>   ko</v>
      </c>
      <c r="F298" s="149" t="b">
        <f>IFERROR(__xludf.DUMMYFUNCTION("""COMPUTED_VALUE"""),FALSE)</f>
        <v>0</v>
      </c>
      <c r="G298" s="149" t="b">
        <f>IFERROR(__xludf.DUMMYFUNCTION("""COMPUTED_VALUE"""),FALSE)</f>
        <v>0</v>
      </c>
      <c r="H298" s="145"/>
      <c r="K298" s="149" t="str">
        <f t="shared" si="3"/>
        <v>   ko   </v>
      </c>
    </row>
    <row r="299" ht="15.75" customHeight="1">
      <c r="A299" s="149"/>
      <c r="B299" s="142"/>
      <c r="C299" s="151"/>
      <c r="D299" s="143" t="str">
        <f t="shared" si="1"/>
        <v>ko</v>
      </c>
      <c r="E299" s="149" t="str">
        <f t="shared" si="2"/>
        <v>   ko</v>
      </c>
      <c r="F299" s="149" t="b">
        <f>IFERROR(__xludf.DUMMYFUNCTION("""COMPUTED_VALUE"""),FALSE)</f>
        <v>0</v>
      </c>
      <c r="G299" s="149" t="b">
        <f>IFERROR(__xludf.DUMMYFUNCTION("""COMPUTED_VALUE"""),FALSE)</f>
        <v>0</v>
      </c>
      <c r="H299" s="145"/>
      <c r="K299" s="149" t="str">
        <f t="shared" si="3"/>
        <v>   ko   </v>
      </c>
    </row>
    <row r="300" ht="15.75" customHeight="1">
      <c r="A300" s="149"/>
      <c r="B300" s="142"/>
      <c r="C300" s="151"/>
      <c r="D300" s="143" t="str">
        <f t="shared" si="1"/>
        <v>ko</v>
      </c>
      <c r="E300" s="149" t="str">
        <f t="shared" si="2"/>
        <v>   ko</v>
      </c>
      <c r="F300" s="149" t="b">
        <f>IFERROR(__xludf.DUMMYFUNCTION("""COMPUTED_VALUE"""),FALSE)</f>
        <v>0</v>
      </c>
      <c r="G300" s="149" t="b">
        <f>IFERROR(__xludf.DUMMYFUNCTION("""COMPUTED_VALUE"""),FALSE)</f>
        <v>0</v>
      </c>
      <c r="H300" s="145"/>
      <c r="K300" s="149" t="str">
        <f t="shared" si="3"/>
        <v>   ko   </v>
      </c>
    </row>
    <row r="301" ht="15.75" customHeight="1">
      <c r="A301" s="149"/>
      <c r="B301" s="142"/>
      <c r="C301" s="151"/>
      <c r="D301" s="143" t="str">
        <f t="shared" si="1"/>
        <v>ko</v>
      </c>
      <c r="E301" s="149" t="str">
        <f t="shared" si="2"/>
        <v>   ko</v>
      </c>
      <c r="F301" s="149" t="b">
        <f>IFERROR(__xludf.DUMMYFUNCTION("""COMPUTED_VALUE"""),FALSE)</f>
        <v>0</v>
      </c>
      <c r="G301" s="149" t="b">
        <f>IFERROR(__xludf.DUMMYFUNCTION("""COMPUTED_VALUE"""),FALSE)</f>
        <v>0</v>
      </c>
      <c r="H301" s="145"/>
      <c r="K301" s="149" t="str">
        <f t="shared" si="3"/>
        <v>   ko   </v>
      </c>
    </row>
    <row r="302" ht="15.75" customHeight="1">
      <c r="A302" s="149"/>
      <c r="B302" s="142"/>
      <c r="C302" s="151"/>
      <c r="D302" s="143" t="str">
        <f t="shared" si="1"/>
        <v>ko</v>
      </c>
      <c r="E302" s="149" t="str">
        <f t="shared" si="2"/>
        <v>   ko</v>
      </c>
      <c r="F302" s="149" t="b">
        <f>IFERROR(__xludf.DUMMYFUNCTION("""COMPUTED_VALUE"""),FALSE)</f>
        <v>0</v>
      </c>
      <c r="G302" s="149" t="b">
        <f>IFERROR(__xludf.DUMMYFUNCTION("""COMPUTED_VALUE"""),FALSE)</f>
        <v>0</v>
      </c>
      <c r="H302" s="145"/>
      <c r="K302" s="149" t="str">
        <f t="shared" si="3"/>
        <v>   ko   </v>
      </c>
    </row>
    <row r="303" ht="15.75" customHeight="1">
      <c r="A303" s="149"/>
      <c r="B303" s="142"/>
      <c r="C303" s="151"/>
      <c r="D303" s="143" t="str">
        <f t="shared" si="1"/>
        <v>ko</v>
      </c>
      <c r="E303" s="149" t="str">
        <f t="shared" si="2"/>
        <v>   ko</v>
      </c>
      <c r="F303" s="149" t="b">
        <f>IFERROR(__xludf.DUMMYFUNCTION("""COMPUTED_VALUE"""),FALSE)</f>
        <v>0</v>
      </c>
      <c r="G303" s="149" t="b">
        <f>IFERROR(__xludf.DUMMYFUNCTION("""COMPUTED_VALUE"""),FALSE)</f>
        <v>0</v>
      </c>
      <c r="H303" s="145"/>
      <c r="K303" s="149" t="str">
        <f t="shared" si="3"/>
        <v>   ko   </v>
      </c>
    </row>
    <row r="304" ht="15.75" customHeight="1">
      <c r="A304" s="149"/>
      <c r="B304" s="142"/>
      <c r="C304" s="151"/>
      <c r="D304" s="143" t="str">
        <f t="shared" si="1"/>
        <v>ko</v>
      </c>
      <c r="E304" s="149" t="str">
        <f t="shared" si="2"/>
        <v>   ko</v>
      </c>
      <c r="F304" s="149" t="b">
        <f>IFERROR(__xludf.DUMMYFUNCTION("""COMPUTED_VALUE"""),FALSE)</f>
        <v>0</v>
      </c>
      <c r="G304" s="149" t="b">
        <f>IFERROR(__xludf.DUMMYFUNCTION("""COMPUTED_VALUE"""),FALSE)</f>
        <v>0</v>
      </c>
      <c r="H304" s="145"/>
      <c r="K304" s="149" t="str">
        <f t="shared" si="3"/>
        <v>   ko   </v>
      </c>
    </row>
    <row r="305" ht="15.75" customHeight="1">
      <c r="A305" s="149"/>
      <c r="B305" s="142"/>
      <c r="C305" s="151"/>
      <c r="D305" s="143" t="str">
        <f t="shared" si="1"/>
        <v>ko</v>
      </c>
      <c r="E305" s="149" t="str">
        <f t="shared" si="2"/>
        <v>   ko</v>
      </c>
      <c r="F305" s="149" t="b">
        <f>IFERROR(__xludf.DUMMYFUNCTION("""COMPUTED_VALUE"""),FALSE)</f>
        <v>0</v>
      </c>
      <c r="G305" s="149" t="b">
        <f>IFERROR(__xludf.DUMMYFUNCTION("""COMPUTED_VALUE"""),FALSE)</f>
        <v>0</v>
      </c>
      <c r="H305" s="145"/>
      <c r="K305" s="149" t="str">
        <f t="shared" si="3"/>
        <v>   ko   </v>
      </c>
    </row>
    <row r="306" ht="15.75" customHeight="1">
      <c r="A306" s="149"/>
      <c r="B306" s="142"/>
      <c r="C306" s="151"/>
      <c r="D306" s="143" t="str">
        <f t="shared" si="1"/>
        <v>ko</v>
      </c>
      <c r="E306" s="149" t="str">
        <f t="shared" si="2"/>
        <v>   ko</v>
      </c>
      <c r="F306" s="149" t="b">
        <f>IFERROR(__xludf.DUMMYFUNCTION("""COMPUTED_VALUE"""),FALSE)</f>
        <v>0</v>
      </c>
      <c r="G306" s="149" t="b">
        <f>IFERROR(__xludf.DUMMYFUNCTION("""COMPUTED_VALUE"""),FALSE)</f>
        <v>0</v>
      </c>
      <c r="H306" s="145"/>
      <c r="K306" s="149" t="str">
        <f t="shared" si="3"/>
        <v>   ko   </v>
      </c>
    </row>
    <row r="307" ht="15.75" customHeight="1">
      <c r="A307" s="149"/>
      <c r="B307" s="142"/>
      <c r="C307" s="151"/>
      <c r="D307" s="143" t="str">
        <f t="shared" si="1"/>
        <v>ko</v>
      </c>
      <c r="E307" s="149" t="str">
        <f t="shared" si="2"/>
        <v>   ko</v>
      </c>
      <c r="F307" s="149" t="b">
        <f>IFERROR(__xludf.DUMMYFUNCTION("""COMPUTED_VALUE"""),FALSE)</f>
        <v>0</v>
      </c>
      <c r="G307" s="149" t="b">
        <f>IFERROR(__xludf.DUMMYFUNCTION("""COMPUTED_VALUE"""),FALSE)</f>
        <v>0</v>
      </c>
      <c r="H307" s="145"/>
      <c r="K307" s="149" t="str">
        <f t="shared" si="3"/>
        <v>   ko   </v>
      </c>
    </row>
    <row r="308" ht="15.75" customHeight="1">
      <c r="A308" s="149"/>
      <c r="B308" s="142"/>
      <c r="C308" s="151"/>
      <c r="D308" s="143" t="str">
        <f t="shared" si="1"/>
        <v>ko</v>
      </c>
      <c r="E308" s="149" t="str">
        <f t="shared" si="2"/>
        <v>   ko</v>
      </c>
      <c r="F308" s="149" t="b">
        <f>IFERROR(__xludf.DUMMYFUNCTION("""COMPUTED_VALUE"""),FALSE)</f>
        <v>0</v>
      </c>
      <c r="G308" s="149" t="b">
        <f>IFERROR(__xludf.DUMMYFUNCTION("""COMPUTED_VALUE"""),FALSE)</f>
        <v>0</v>
      </c>
      <c r="H308" s="145"/>
      <c r="K308" s="149" t="str">
        <f t="shared" si="3"/>
        <v>   ko   </v>
      </c>
    </row>
    <row r="309" ht="15.75" customHeight="1">
      <c r="A309" s="149"/>
      <c r="B309" s="142"/>
      <c r="C309" s="151"/>
      <c r="D309" s="143" t="str">
        <f t="shared" si="1"/>
        <v>ko</v>
      </c>
      <c r="E309" s="149" t="str">
        <f t="shared" si="2"/>
        <v>   ko</v>
      </c>
      <c r="F309" s="149" t="b">
        <f>IFERROR(__xludf.DUMMYFUNCTION("""COMPUTED_VALUE"""),FALSE)</f>
        <v>0</v>
      </c>
      <c r="G309" s="149" t="b">
        <f>IFERROR(__xludf.DUMMYFUNCTION("""COMPUTED_VALUE"""),FALSE)</f>
        <v>0</v>
      </c>
      <c r="H309" s="145"/>
      <c r="K309" s="149" t="str">
        <f t="shared" si="3"/>
        <v>   ko   </v>
      </c>
    </row>
    <row r="310" ht="15.75" customHeight="1">
      <c r="A310" s="149"/>
      <c r="B310" s="142"/>
      <c r="C310" s="151"/>
      <c r="D310" s="143" t="str">
        <f t="shared" si="1"/>
        <v>ko</v>
      </c>
      <c r="E310" s="149" t="str">
        <f t="shared" si="2"/>
        <v>   ko</v>
      </c>
      <c r="F310" s="149" t="b">
        <f>IFERROR(__xludf.DUMMYFUNCTION("""COMPUTED_VALUE"""),FALSE)</f>
        <v>0</v>
      </c>
      <c r="G310" s="149" t="b">
        <f>IFERROR(__xludf.DUMMYFUNCTION("""COMPUTED_VALUE"""),FALSE)</f>
        <v>0</v>
      </c>
      <c r="H310" s="145"/>
      <c r="K310" s="149" t="str">
        <f t="shared" si="3"/>
        <v>   ko   </v>
      </c>
    </row>
    <row r="311" ht="15.75" customHeight="1">
      <c r="A311" s="149"/>
      <c r="B311" s="142"/>
      <c r="C311" s="151"/>
      <c r="D311" s="143" t="str">
        <f t="shared" si="1"/>
        <v>ko</v>
      </c>
      <c r="E311" s="149" t="str">
        <f t="shared" si="2"/>
        <v>   ko</v>
      </c>
      <c r="F311" s="149" t="b">
        <f>IFERROR(__xludf.DUMMYFUNCTION("""COMPUTED_VALUE"""),FALSE)</f>
        <v>0</v>
      </c>
      <c r="G311" s="149" t="b">
        <f>IFERROR(__xludf.DUMMYFUNCTION("""COMPUTED_VALUE"""),FALSE)</f>
        <v>0</v>
      </c>
      <c r="H311" s="145"/>
      <c r="K311" s="149" t="str">
        <f t="shared" ref="K311:K314" si="4">E311&amp;" "&amp;B311 </f>
        <v>   ko </v>
      </c>
    </row>
    <row r="312" ht="15.75" customHeight="1">
      <c r="A312" s="149"/>
      <c r="B312" s="142"/>
      <c r="C312" s="151"/>
      <c r="D312" s="143" t="str">
        <f t="shared" si="1"/>
        <v>ko</v>
      </c>
      <c r="E312" s="149" t="str">
        <f t="shared" si="2"/>
        <v>   ko</v>
      </c>
      <c r="F312" s="149" t="b">
        <f>IFERROR(__xludf.DUMMYFUNCTION("""COMPUTED_VALUE"""),FALSE)</f>
        <v>0</v>
      </c>
      <c r="G312" s="149" t="b">
        <f>IFERROR(__xludf.DUMMYFUNCTION("""COMPUTED_VALUE"""),FALSE)</f>
        <v>0</v>
      </c>
      <c r="H312" s="145"/>
      <c r="K312" s="149" t="str">
        <f t="shared" si="4"/>
        <v>   ko </v>
      </c>
    </row>
    <row r="313" ht="15.75" customHeight="1">
      <c r="A313" s="149"/>
      <c r="B313" s="142"/>
      <c r="C313" s="151"/>
      <c r="D313" s="143" t="str">
        <f t="shared" si="1"/>
        <v>ko</v>
      </c>
      <c r="E313" s="149" t="str">
        <f t="shared" si="2"/>
        <v>   ko</v>
      </c>
      <c r="F313" s="149" t="b">
        <f>IFERROR(__xludf.DUMMYFUNCTION("""COMPUTED_VALUE"""),FALSE)</f>
        <v>0</v>
      </c>
      <c r="G313" s="149" t="b">
        <f>IFERROR(__xludf.DUMMYFUNCTION("""COMPUTED_VALUE"""),FALSE)</f>
        <v>0</v>
      </c>
      <c r="H313" s="145"/>
      <c r="K313" s="149" t="str">
        <f t="shared" si="4"/>
        <v>   ko </v>
      </c>
    </row>
    <row r="314" ht="15.75" customHeight="1">
      <c r="A314" s="149"/>
      <c r="B314" s="142"/>
      <c r="C314" s="151"/>
      <c r="D314" s="143" t="str">
        <f t="shared" si="1"/>
        <v>ko</v>
      </c>
      <c r="E314" s="149" t="str">
        <f t="shared" si="2"/>
        <v>   ko</v>
      </c>
      <c r="F314" s="149" t="b">
        <f>IFERROR(__xludf.DUMMYFUNCTION("""COMPUTED_VALUE"""),FALSE)</f>
        <v>0</v>
      </c>
      <c r="G314" s="149" t="b">
        <f>IFERROR(__xludf.DUMMYFUNCTION("""COMPUTED_VALUE"""),FALSE)</f>
        <v>0</v>
      </c>
      <c r="H314" s="145"/>
      <c r="K314" s="149" t="str">
        <f t="shared" si="4"/>
        <v>   ko </v>
      </c>
    </row>
    <row r="315" ht="15.75" customHeight="1">
      <c r="A315" s="149"/>
      <c r="B315" s="142"/>
      <c r="C315" s="151"/>
      <c r="D315" s="143" t="str">
        <f t="shared" si="1"/>
        <v>ko</v>
      </c>
      <c r="E315" s="149" t="str">
        <f t="shared" si="2"/>
        <v>   ko</v>
      </c>
      <c r="F315" s="149" t="b">
        <f>IFERROR(__xludf.DUMMYFUNCTION("""COMPUTED_VALUE"""),FALSE)</f>
        <v>0</v>
      </c>
      <c r="G315" s="149" t="b">
        <f>IFERROR(__xludf.DUMMYFUNCTION("""COMPUTED_VALUE"""),FALSE)</f>
        <v>0</v>
      </c>
      <c r="H315" s="145"/>
    </row>
    <row r="316" ht="15.75" customHeight="1">
      <c r="A316" s="149"/>
      <c r="B316" s="142"/>
      <c r="C316" s="151"/>
      <c r="D316" s="143" t="str">
        <f t="shared" si="1"/>
        <v>ko</v>
      </c>
      <c r="E316" s="149" t="str">
        <f t="shared" si="2"/>
        <v>   ko</v>
      </c>
      <c r="F316" s="149" t="b">
        <f>IFERROR(__xludf.DUMMYFUNCTION("""COMPUTED_VALUE"""),FALSE)</f>
        <v>0</v>
      </c>
      <c r="G316" s="149" t="b">
        <f>IFERROR(__xludf.DUMMYFUNCTION("""COMPUTED_VALUE"""),FALSE)</f>
        <v>0</v>
      </c>
      <c r="H316" s="145"/>
    </row>
    <row r="317" ht="15.75" customHeight="1">
      <c r="A317" s="149"/>
      <c r="B317" s="142"/>
      <c r="C317" s="151"/>
      <c r="D317" s="143" t="str">
        <f t="shared" si="1"/>
        <v>ko</v>
      </c>
      <c r="E317" s="149" t="str">
        <f t="shared" si="2"/>
        <v>   ko</v>
      </c>
      <c r="F317" s="149" t="b">
        <f>IFERROR(__xludf.DUMMYFUNCTION("""COMPUTED_VALUE"""),FALSE)</f>
        <v>0</v>
      </c>
      <c r="G317" s="149" t="b">
        <f>IFERROR(__xludf.DUMMYFUNCTION("""COMPUTED_VALUE"""),FALSE)</f>
        <v>0</v>
      </c>
      <c r="H317" s="145"/>
    </row>
    <row r="318" ht="15.75" customHeight="1">
      <c r="A318" s="149"/>
      <c r="B318" s="142"/>
      <c r="C318" s="151"/>
      <c r="D318" s="143" t="str">
        <f t="shared" si="1"/>
        <v>ko</v>
      </c>
      <c r="E318" s="149" t="str">
        <f t="shared" si="2"/>
        <v>   ko</v>
      </c>
      <c r="F318" s="149" t="b">
        <f>IFERROR(__xludf.DUMMYFUNCTION("""COMPUTED_VALUE"""),FALSE)</f>
        <v>0</v>
      </c>
      <c r="G318" s="149" t="b">
        <f>IFERROR(__xludf.DUMMYFUNCTION("""COMPUTED_VALUE"""),FALSE)</f>
        <v>0</v>
      </c>
      <c r="H318" s="145"/>
    </row>
    <row r="319" ht="15.75" customHeight="1">
      <c r="A319" s="149"/>
      <c r="B319" s="142"/>
      <c r="C319" s="151"/>
      <c r="D319" s="143" t="str">
        <f t="shared" si="1"/>
        <v>ko</v>
      </c>
      <c r="E319" s="149" t="str">
        <f t="shared" si="2"/>
        <v>   ko</v>
      </c>
      <c r="F319" s="149" t="b">
        <f>IFERROR(__xludf.DUMMYFUNCTION("""COMPUTED_VALUE"""),FALSE)</f>
        <v>0</v>
      </c>
      <c r="G319" s="149" t="b">
        <f>IFERROR(__xludf.DUMMYFUNCTION("""COMPUTED_VALUE"""),FALSE)</f>
        <v>0</v>
      </c>
      <c r="H319" s="145"/>
    </row>
    <row r="320" ht="15.75" customHeight="1">
      <c r="A320" s="149"/>
      <c r="B320" s="142"/>
      <c r="C320" s="151"/>
      <c r="D320" s="143" t="str">
        <f t="shared" si="1"/>
        <v>ko</v>
      </c>
      <c r="E320" s="149" t="str">
        <f t="shared" si="2"/>
        <v>   ko</v>
      </c>
      <c r="F320" s="149" t="b">
        <f>IFERROR(__xludf.DUMMYFUNCTION("""COMPUTED_VALUE"""),FALSE)</f>
        <v>0</v>
      </c>
      <c r="G320" s="149" t="b">
        <f>IFERROR(__xludf.DUMMYFUNCTION("""COMPUTED_VALUE"""),FALSE)</f>
        <v>0</v>
      </c>
      <c r="H320" s="145"/>
    </row>
    <row r="321" ht="15.75" customHeight="1">
      <c r="A321" s="149"/>
      <c r="B321" s="142"/>
      <c r="C321" s="151"/>
      <c r="D321" s="143" t="str">
        <f t="shared" si="1"/>
        <v>ko</v>
      </c>
      <c r="E321" s="149" t="str">
        <f t="shared" si="2"/>
        <v>   ko</v>
      </c>
      <c r="F321" s="149" t="b">
        <f>IFERROR(__xludf.DUMMYFUNCTION("""COMPUTED_VALUE"""),FALSE)</f>
        <v>0</v>
      </c>
      <c r="G321" s="149" t="b">
        <f>IFERROR(__xludf.DUMMYFUNCTION("""COMPUTED_VALUE"""),FALSE)</f>
        <v>0</v>
      </c>
      <c r="H321" s="145"/>
    </row>
    <row r="322" ht="15.75" customHeight="1">
      <c r="A322" s="149"/>
      <c r="B322" s="142"/>
      <c r="C322" s="151"/>
      <c r="D322" s="143" t="str">
        <f t="shared" si="1"/>
        <v>ko</v>
      </c>
      <c r="E322" s="149" t="str">
        <f t="shared" si="2"/>
        <v>   ko</v>
      </c>
      <c r="F322" s="149" t="b">
        <f>IFERROR(__xludf.DUMMYFUNCTION("""COMPUTED_VALUE"""),FALSE)</f>
        <v>0</v>
      </c>
      <c r="G322" s="149" t="b">
        <f>IFERROR(__xludf.DUMMYFUNCTION("""COMPUTED_VALUE"""),FALSE)</f>
        <v>0</v>
      </c>
      <c r="H322" s="145"/>
    </row>
    <row r="323" ht="15.75" customHeight="1">
      <c r="A323" s="149"/>
      <c r="B323" s="142"/>
      <c r="C323" s="151"/>
      <c r="D323" s="143" t="str">
        <f t="shared" si="1"/>
        <v>ko</v>
      </c>
      <c r="E323" s="149" t="str">
        <f t="shared" si="2"/>
        <v>   ko</v>
      </c>
      <c r="F323" s="149" t="b">
        <f>IFERROR(__xludf.DUMMYFUNCTION("""COMPUTED_VALUE"""),FALSE)</f>
        <v>0</v>
      </c>
      <c r="G323" s="149" t="b">
        <f>IFERROR(__xludf.DUMMYFUNCTION("""COMPUTED_VALUE"""),FALSE)</f>
        <v>0</v>
      </c>
      <c r="H323" s="145"/>
    </row>
    <row r="324" ht="15.75" customHeight="1">
      <c r="A324" s="149"/>
      <c r="B324" s="142"/>
      <c r="C324" s="151"/>
      <c r="D324" s="143" t="str">
        <f t="shared" si="1"/>
        <v>ko</v>
      </c>
      <c r="E324" s="149" t="str">
        <f t="shared" si="2"/>
        <v>   ko</v>
      </c>
      <c r="F324" s="149" t="b">
        <f>IFERROR(__xludf.DUMMYFUNCTION("""COMPUTED_VALUE"""),FALSE)</f>
        <v>0</v>
      </c>
      <c r="G324" s="149" t="b">
        <f>IFERROR(__xludf.DUMMYFUNCTION("""COMPUTED_VALUE"""),FALSE)</f>
        <v>0</v>
      </c>
      <c r="H324" s="145"/>
    </row>
    <row r="325" ht="15.75" customHeight="1">
      <c r="A325" s="149"/>
      <c r="B325" s="142"/>
      <c r="C325" s="151"/>
      <c r="D325" s="143" t="str">
        <f t="shared" si="1"/>
        <v>ko</v>
      </c>
      <c r="E325" s="149" t="str">
        <f t="shared" si="2"/>
        <v>   ko</v>
      </c>
      <c r="F325" s="149" t="b">
        <f>IFERROR(__xludf.DUMMYFUNCTION("""COMPUTED_VALUE"""),FALSE)</f>
        <v>0</v>
      </c>
      <c r="G325" s="149" t="b">
        <f>IFERROR(__xludf.DUMMYFUNCTION("""COMPUTED_VALUE"""),FALSE)</f>
        <v>0</v>
      </c>
      <c r="H325" s="145"/>
    </row>
    <row r="326" ht="15.75" customHeight="1">
      <c r="A326" s="149"/>
      <c r="B326" s="142"/>
      <c r="C326" s="151"/>
      <c r="D326" s="143" t="str">
        <f t="shared" si="1"/>
        <v>ko</v>
      </c>
      <c r="E326" s="149" t="str">
        <f t="shared" si="2"/>
        <v>   ko</v>
      </c>
      <c r="F326" s="149" t="b">
        <f>IFERROR(__xludf.DUMMYFUNCTION("""COMPUTED_VALUE"""),FALSE)</f>
        <v>0</v>
      </c>
      <c r="G326" s="149" t="b">
        <f>IFERROR(__xludf.DUMMYFUNCTION("""COMPUTED_VALUE"""),FALSE)</f>
        <v>0</v>
      </c>
      <c r="H326" s="145"/>
    </row>
    <row r="327" ht="15.75" customHeight="1">
      <c r="A327" s="149"/>
      <c r="B327" s="142"/>
      <c r="C327" s="151"/>
      <c r="D327" s="143" t="str">
        <f t="shared" si="1"/>
        <v>ko</v>
      </c>
      <c r="E327" s="149" t="str">
        <f t="shared" si="2"/>
        <v>   ko</v>
      </c>
      <c r="F327" s="149" t="b">
        <f>IFERROR(__xludf.DUMMYFUNCTION("""COMPUTED_VALUE"""),FALSE)</f>
        <v>0</v>
      </c>
      <c r="G327" s="149" t="b">
        <f>IFERROR(__xludf.DUMMYFUNCTION("""COMPUTED_VALUE"""),FALSE)</f>
        <v>0</v>
      </c>
      <c r="H327" s="145"/>
    </row>
    <row r="328" ht="15.75" customHeight="1">
      <c r="A328" s="149"/>
      <c r="B328" s="142"/>
      <c r="C328" s="151"/>
      <c r="D328" s="143" t="str">
        <f t="shared" si="1"/>
        <v>ko</v>
      </c>
      <c r="E328" s="149" t="str">
        <f t="shared" si="2"/>
        <v>   ko</v>
      </c>
      <c r="F328" s="149" t="b">
        <f>IFERROR(__xludf.DUMMYFUNCTION("""COMPUTED_VALUE"""),FALSE)</f>
        <v>0</v>
      </c>
      <c r="G328" s="149" t="b">
        <f>IFERROR(__xludf.DUMMYFUNCTION("""COMPUTED_VALUE"""),FALSE)</f>
        <v>0</v>
      </c>
      <c r="H328" s="145"/>
    </row>
    <row r="329" ht="15.75" customHeight="1">
      <c r="A329" s="149"/>
      <c r="B329" s="142"/>
      <c r="C329" s="151"/>
      <c r="D329" s="143" t="str">
        <f t="shared" si="1"/>
        <v>ko</v>
      </c>
      <c r="E329" s="149" t="str">
        <f t="shared" si="2"/>
        <v>   ko</v>
      </c>
      <c r="F329" s="149" t="b">
        <f>IFERROR(__xludf.DUMMYFUNCTION("""COMPUTED_VALUE"""),FALSE)</f>
        <v>0</v>
      </c>
      <c r="G329" s="149" t="b">
        <f>IFERROR(__xludf.DUMMYFUNCTION("""COMPUTED_VALUE"""),FALSE)</f>
        <v>0</v>
      </c>
      <c r="H329" s="145"/>
    </row>
    <row r="330" ht="15.75" customHeight="1">
      <c r="A330" s="149"/>
      <c r="B330" s="142"/>
      <c r="C330" s="151"/>
      <c r="D330" s="143" t="str">
        <f t="shared" si="1"/>
        <v>ko</v>
      </c>
      <c r="E330" s="149" t="str">
        <f t="shared" si="2"/>
        <v>   ko</v>
      </c>
      <c r="F330" s="149" t="b">
        <f>IFERROR(__xludf.DUMMYFUNCTION("""COMPUTED_VALUE"""),FALSE)</f>
        <v>0</v>
      </c>
      <c r="G330" s="149" t="b">
        <f>IFERROR(__xludf.DUMMYFUNCTION("""COMPUTED_VALUE"""),FALSE)</f>
        <v>0</v>
      </c>
      <c r="H330" s="145"/>
    </row>
    <row r="331" ht="15.75" customHeight="1">
      <c r="A331" s="149"/>
      <c r="B331" s="142"/>
      <c r="C331" s="151"/>
      <c r="D331" s="143" t="str">
        <f t="shared" si="1"/>
        <v>ko</v>
      </c>
      <c r="E331" s="149" t="str">
        <f t="shared" si="2"/>
        <v>   ko</v>
      </c>
      <c r="F331" s="149" t="b">
        <f>IFERROR(__xludf.DUMMYFUNCTION("""COMPUTED_VALUE"""),FALSE)</f>
        <v>0</v>
      </c>
      <c r="G331" s="149" t="b">
        <f>IFERROR(__xludf.DUMMYFUNCTION("""COMPUTED_VALUE"""),FALSE)</f>
        <v>0</v>
      </c>
      <c r="H331" s="145"/>
    </row>
    <row r="332" ht="15.75" customHeight="1">
      <c r="A332" s="149"/>
      <c r="B332" s="142"/>
      <c r="C332" s="151"/>
      <c r="D332" s="143" t="str">
        <f t="shared" si="1"/>
        <v>ko</v>
      </c>
      <c r="E332" s="149" t="str">
        <f t="shared" si="2"/>
        <v>   ko</v>
      </c>
      <c r="F332" s="149" t="b">
        <f>IFERROR(__xludf.DUMMYFUNCTION("""COMPUTED_VALUE"""),FALSE)</f>
        <v>0</v>
      </c>
      <c r="G332" s="149" t="b">
        <f>IFERROR(__xludf.DUMMYFUNCTION("""COMPUTED_VALUE"""),FALSE)</f>
        <v>0</v>
      </c>
      <c r="H332" s="145"/>
    </row>
    <row r="333" ht="15.75" customHeight="1">
      <c r="A333" s="149"/>
      <c r="B333" s="142"/>
      <c r="C333" s="151"/>
      <c r="D333" s="143" t="str">
        <f t="shared" si="1"/>
        <v>ko</v>
      </c>
      <c r="E333" s="149" t="str">
        <f t="shared" si="2"/>
        <v>   ko</v>
      </c>
      <c r="F333" s="149" t="b">
        <f>IFERROR(__xludf.DUMMYFUNCTION("""COMPUTED_VALUE"""),FALSE)</f>
        <v>0</v>
      </c>
      <c r="G333" s="149" t="b">
        <f>IFERROR(__xludf.DUMMYFUNCTION("""COMPUTED_VALUE"""),FALSE)</f>
        <v>0</v>
      </c>
      <c r="H333" s="145"/>
    </row>
    <row r="334" ht="15.75" customHeight="1">
      <c r="A334" s="149"/>
      <c r="B334" s="142"/>
      <c r="C334" s="151"/>
      <c r="D334" s="143" t="str">
        <f t="shared" si="1"/>
        <v>ko</v>
      </c>
      <c r="E334" s="149" t="str">
        <f t="shared" si="2"/>
        <v>   ko</v>
      </c>
      <c r="F334" s="149" t="b">
        <f>IFERROR(__xludf.DUMMYFUNCTION("""COMPUTED_VALUE"""),FALSE)</f>
        <v>0</v>
      </c>
      <c r="G334" s="149" t="b">
        <f>IFERROR(__xludf.DUMMYFUNCTION("""COMPUTED_VALUE"""),FALSE)</f>
        <v>0</v>
      </c>
      <c r="H334" s="145"/>
    </row>
    <row r="335" ht="15.75" customHeight="1">
      <c r="A335" s="149"/>
      <c r="B335" s="142"/>
      <c r="C335" s="151"/>
      <c r="D335" s="143" t="str">
        <f t="shared" si="1"/>
        <v>ko</v>
      </c>
      <c r="E335" s="149" t="str">
        <f t="shared" si="2"/>
        <v>   ko</v>
      </c>
      <c r="F335" s="149" t="b">
        <f>IFERROR(__xludf.DUMMYFUNCTION("""COMPUTED_VALUE"""),FALSE)</f>
        <v>0</v>
      </c>
      <c r="G335" s="149" t="b">
        <f>IFERROR(__xludf.DUMMYFUNCTION("""COMPUTED_VALUE"""),FALSE)</f>
        <v>0</v>
      </c>
      <c r="H335" s="145"/>
    </row>
    <row r="336" ht="15.75" customHeight="1">
      <c r="A336" s="149"/>
      <c r="B336" s="142"/>
      <c r="C336" s="151"/>
      <c r="D336" s="143" t="str">
        <f t="shared" si="1"/>
        <v>ko</v>
      </c>
      <c r="E336" s="149" t="str">
        <f t="shared" si="2"/>
        <v>   ko</v>
      </c>
      <c r="F336" s="149" t="b">
        <f>IFERROR(__xludf.DUMMYFUNCTION("""COMPUTED_VALUE"""),FALSE)</f>
        <v>0</v>
      </c>
      <c r="G336" s="149" t="b">
        <f>IFERROR(__xludf.DUMMYFUNCTION("""COMPUTED_VALUE"""),FALSE)</f>
        <v>0</v>
      </c>
      <c r="H336" s="145"/>
    </row>
    <row r="337" ht="15.75" customHeight="1">
      <c r="A337" s="149"/>
      <c r="B337" s="142"/>
      <c r="C337" s="151"/>
      <c r="D337" s="143" t="str">
        <f t="shared" si="1"/>
        <v>ko</v>
      </c>
      <c r="E337" s="149" t="str">
        <f t="shared" si="2"/>
        <v>   ko</v>
      </c>
      <c r="F337" s="149" t="b">
        <f>IFERROR(__xludf.DUMMYFUNCTION("""COMPUTED_VALUE"""),FALSE)</f>
        <v>0</v>
      </c>
      <c r="G337" s="149" t="b">
        <f>IFERROR(__xludf.DUMMYFUNCTION("""COMPUTED_VALUE"""),FALSE)</f>
        <v>0</v>
      </c>
      <c r="H337" s="145"/>
    </row>
    <row r="338" ht="15.75" customHeight="1">
      <c r="A338" s="149"/>
      <c r="B338" s="142"/>
      <c r="C338" s="151"/>
      <c r="D338" s="143" t="str">
        <f t="shared" si="1"/>
        <v>ko</v>
      </c>
      <c r="E338" s="149" t="str">
        <f t="shared" si="2"/>
        <v>   ko</v>
      </c>
      <c r="F338" s="149" t="b">
        <f>IFERROR(__xludf.DUMMYFUNCTION("""COMPUTED_VALUE"""),FALSE)</f>
        <v>0</v>
      </c>
      <c r="G338" s="149" t="b">
        <f>IFERROR(__xludf.DUMMYFUNCTION("""COMPUTED_VALUE"""),FALSE)</f>
        <v>0</v>
      </c>
      <c r="H338" s="145"/>
    </row>
    <row r="339" ht="15.75" customHeight="1">
      <c r="A339" s="149"/>
      <c r="B339" s="142"/>
      <c r="C339" s="151"/>
      <c r="D339" s="143" t="str">
        <f t="shared" si="1"/>
        <v>ko</v>
      </c>
      <c r="E339" s="149" t="str">
        <f t="shared" si="2"/>
        <v>   ko</v>
      </c>
      <c r="F339" s="149" t="b">
        <f>IFERROR(__xludf.DUMMYFUNCTION("""COMPUTED_VALUE"""),FALSE)</f>
        <v>0</v>
      </c>
      <c r="G339" s="149" t="b">
        <f>IFERROR(__xludf.DUMMYFUNCTION("""COMPUTED_VALUE"""),FALSE)</f>
        <v>0</v>
      </c>
      <c r="H339" s="145"/>
    </row>
    <row r="340" ht="15.75" customHeight="1">
      <c r="A340" s="149"/>
      <c r="B340" s="142"/>
      <c r="C340" s="151"/>
      <c r="D340" s="143" t="str">
        <f t="shared" si="1"/>
        <v>ko</v>
      </c>
      <c r="E340" s="149" t="str">
        <f t="shared" si="2"/>
        <v>   ko</v>
      </c>
      <c r="F340" s="149" t="b">
        <f>IFERROR(__xludf.DUMMYFUNCTION("""COMPUTED_VALUE"""),FALSE)</f>
        <v>0</v>
      </c>
      <c r="G340" s="149" t="b">
        <f>IFERROR(__xludf.DUMMYFUNCTION("""COMPUTED_VALUE"""),FALSE)</f>
        <v>0</v>
      </c>
      <c r="H340" s="145"/>
    </row>
    <row r="341" ht="15.75" customHeight="1">
      <c r="A341" s="149"/>
      <c r="B341" s="142"/>
      <c r="C341" s="151"/>
      <c r="D341" s="143" t="str">
        <f t="shared" si="1"/>
        <v>ko</v>
      </c>
      <c r="E341" s="149" t="str">
        <f t="shared" si="2"/>
        <v>   ko</v>
      </c>
      <c r="F341" s="149" t="b">
        <f>IFERROR(__xludf.DUMMYFUNCTION("""COMPUTED_VALUE"""),FALSE)</f>
        <v>0</v>
      </c>
      <c r="G341" s="149" t="b">
        <f>IFERROR(__xludf.DUMMYFUNCTION("""COMPUTED_VALUE"""),FALSE)</f>
        <v>0</v>
      </c>
      <c r="H341" s="145"/>
    </row>
    <row r="342" ht="15.75" customHeight="1">
      <c r="A342" s="149"/>
      <c r="B342" s="142"/>
      <c r="C342" s="151"/>
      <c r="D342" s="143" t="str">
        <f t="shared" si="1"/>
        <v>ko</v>
      </c>
      <c r="E342" s="149" t="str">
        <f t="shared" si="2"/>
        <v>   ko</v>
      </c>
      <c r="F342" s="149" t="b">
        <f>IFERROR(__xludf.DUMMYFUNCTION("""COMPUTED_VALUE"""),FALSE)</f>
        <v>0</v>
      </c>
      <c r="G342" s="149" t="b">
        <f>IFERROR(__xludf.DUMMYFUNCTION("""COMPUTED_VALUE"""),FALSE)</f>
        <v>0</v>
      </c>
      <c r="H342" s="145"/>
    </row>
    <row r="343" ht="15.75" customHeight="1">
      <c r="A343" s="149"/>
      <c r="B343" s="142"/>
      <c r="C343" s="151"/>
      <c r="D343" s="143" t="str">
        <f t="shared" si="1"/>
        <v>ko</v>
      </c>
      <c r="E343" s="149" t="str">
        <f t="shared" si="2"/>
        <v>   ko</v>
      </c>
      <c r="F343" s="149" t="b">
        <f>IFERROR(__xludf.DUMMYFUNCTION("""COMPUTED_VALUE"""),FALSE)</f>
        <v>0</v>
      </c>
      <c r="G343" s="149" t="b">
        <f>IFERROR(__xludf.DUMMYFUNCTION("""COMPUTED_VALUE"""),FALSE)</f>
        <v>0</v>
      </c>
      <c r="H343" s="145"/>
    </row>
    <row r="344" ht="15.75" customHeight="1">
      <c r="A344" s="149"/>
      <c r="B344" s="142"/>
      <c r="C344" s="151"/>
      <c r="D344" s="143" t="str">
        <f t="shared" si="1"/>
        <v>ko</v>
      </c>
      <c r="E344" s="149" t="str">
        <f t="shared" si="2"/>
        <v>   ko</v>
      </c>
      <c r="F344" s="149" t="b">
        <f>IFERROR(__xludf.DUMMYFUNCTION("""COMPUTED_VALUE"""),FALSE)</f>
        <v>0</v>
      </c>
      <c r="G344" s="149" t="b">
        <f>IFERROR(__xludf.DUMMYFUNCTION("""COMPUTED_VALUE"""),FALSE)</f>
        <v>0</v>
      </c>
      <c r="H344" s="145"/>
    </row>
    <row r="345" ht="15.75" customHeight="1">
      <c r="A345" s="149"/>
      <c r="B345" s="142"/>
      <c r="C345" s="151"/>
      <c r="D345" s="143" t="str">
        <f t="shared" si="1"/>
        <v>ko</v>
      </c>
      <c r="E345" s="149" t="str">
        <f t="shared" si="2"/>
        <v>   ko</v>
      </c>
      <c r="F345" s="149" t="b">
        <f>IFERROR(__xludf.DUMMYFUNCTION("""COMPUTED_VALUE"""),FALSE)</f>
        <v>0</v>
      </c>
      <c r="G345" s="149" t="b">
        <f>IFERROR(__xludf.DUMMYFUNCTION("""COMPUTED_VALUE"""),FALSE)</f>
        <v>0</v>
      </c>
      <c r="H345" s="145"/>
    </row>
    <row r="346" ht="15.75" customHeight="1">
      <c r="A346" s="149"/>
      <c r="B346" s="142"/>
      <c r="C346" s="151"/>
      <c r="D346" s="143" t="str">
        <f t="shared" si="1"/>
        <v>ko</v>
      </c>
      <c r="E346" s="149" t="str">
        <f t="shared" si="2"/>
        <v>   ko</v>
      </c>
      <c r="F346" s="149" t="b">
        <f>IFERROR(__xludf.DUMMYFUNCTION("""COMPUTED_VALUE"""),FALSE)</f>
        <v>0</v>
      </c>
      <c r="G346" s="149" t="b">
        <f>IFERROR(__xludf.DUMMYFUNCTION("""COMPUTED_VALUE"""),FALSE)</f>
        <v>0</v>
      </c>
      <c r="H346" s="145"/>
    </row>
    <row r="347" ht="15.75" customHeight="1">
      <c r="A347" s="149"/>
      <c r="B347" s="142"/>
      <c r="C347" s="151"/>
      <c r="D347" s="143" t="str">
        <f t="shared" si="1"/>
        <v>ko</v>
      </c>
      <c r="E347" s="149" t="str">
        <f t="shared" si="2"/>
        <v>   ko</v>
      </c>
      <c r="F347" s="149" t="b">
        <f>IFERROR(__xludf.DUMMYFUNCTION("""COMPUTED_VALUE"""),FALSE)</f>
        <v>0</v>
      </c>
      <c r="G347" s="149" t="b">
        <f>IFERROR(__xludf.DUMMYFUNCTION("""COMPUTED_VALUE"""),FALSE)</f>
        <v>0</v>
      </c>
      <c r="H347" s="145"/>
    </row>
    <row r="348" ht="15.75" customHeight="1">
      <c r="A348" s="149"/>
      <c r="B348" s="142"/>
      <c r="C348" s="151"/>
      <c r="D348" s="143" t="str">
        <f t="shared" si="1"/>
        <v>ko</v>
      </c>
      <c r="E348" s="149" t="str">
        <f t="shared" si="2"/>
        <v>   ko</v>
      </c>
      <c r="F348" s="149" t="b">
        <f>IFERROR(__xludf.DUMMYFUNCTION("""COMPUTED_VALUE"""),FALSE)</f>
        <v>0</v>
      </c>
      <c r="G348" s="149" t="b">
        <f>IFERROR(__xludf.DUMMYFUNCTION("""COMPUTED_VALUE"""),FALSE)</f>
        <v>0</v>
      </c>
      <c r="H348" s="145"/>
    </row>
    <row r="349" ht="15.75" customHeight="1">
      <c r="A349" s="149"/>
      <c r="B349" s="142"/>
      <c r="C349" s="151"/>
      <c r="D349" s="143" t="str">
        <f t="shared" si="1"/>
        <v>ko</v>
      </c>
      <c r="E349" s="149" t="str">
        <f t="shared" si="2"/>
        <v>   ko</v>
      </c>
      <c r="F349" s="149" t="b">
        <f>IFERROR(__xludf.DUMMYFUNCTION("""COMPUTED_VALUE"""),FALSE)</f>
        <v>0</v>
      </c>
      <c r="G349" s="149" t="b">
        <f>IFERROR(__xludf.DUMMYFUNCTION("""COMPUTED_VALUE"""),FALSE)</f>
        <v>0</v>
      </c>
      <c r="H349" s="145"/>
    </row>
    <row r="350" ht="15.75" customHeight="1">
      <c r="A350" s="149"/>
      <c r="B350" s="142"/>
      <c r="C350" s="151"/>
      <c r="D350" s="143" t="str">
        <f t="shared" si="1"/>
        <v>ko</v>
      </c>
      <c r="E350" s="149" t="str">
        <f t="shared" si="2"/>
        <v>   ko</v>
      </c>
      <c r="F350" s="149" t="b">
        <f>IFERROR(__xludf.DUMMYFUNCTION("""COMPUTED_VALUE"""),FALSE)</f>
        <v>0</v>
      </c>
      <c r="G350" s="149" t="b">
        <f>IFERROR(__xludf.DUMMYFUNCTION("""COMPUTED_VALUE"""),FALSE)</f>
        <v>0</v>
      </c>
      <c r="H350" s="145"/>
    </row>
    <row r="351" ht="15.75" customHeight="1">
      <c r="A351" s="149"/>
      <c r="B351" s="142"/>
      <c r="C351" s="151"/>
      <c r="D351" s="143" t="str">
        <f t="shared" si="1"/>
        <v>ko</v>
      </c>
      <c r="E351" s="149" t="str">
        <f t="shared" si="2"/>
        <v>   ko</v>
      </c>
      <c r="F351" s="149" t="b">
        <f>IFERROR(__xludf.DUMMYFUNCTION("""COMPUTED_VALUE"""),FALSE)</f>
        <v>0</v>
      </c>
      <c r="G351" s="149" t="b">
        <f>IFERROR(__xludf.DUMMYFUNCTION("""COMPUTED_VALUE"""),FALSE)</f>
        <v>0</v>
      </c>
      <c r="H351" s="145"/>
    </row>
    <row r="352" ht="15.75" customHeight="1">
      <c r="A352" s="149"/>
      <c r="B352" s="142"/>
      <c r="C352" s="151"/>
      <c r="D352" s="143" t="str">
        <f t="shared" si="1"/>
        <v>ko</v>
      </c>
      <c r="E352" s="149" t="str">
        <f t="shared" si="2"/>
        <v>   ko</v>
      </c>
      <c r="F352" s="149" t="b">
        <f>IFERROR(__xludf.DUMMYFUNCTION("""COMPUTED_VALUE"""),FALSE)</f>
        <v>0</v>
      </c>
      <c r="G352" s="149" t="b">
        <f>IFERROR(__xludf.DUMMYFUNCTION("""COMPUTED_VALUE"""),FALSE)</f>
        <v>0</v>
      </c>
      <c r="H352" s="145"/>
    </row>
    <row r="353" ht="15.75" customHeight="1">
      <c r="A353" s="149"/>
      <c r="B353" s="142"/>
      <c r="C353" s="151"/>
      <c r="D353" s="143" t="str">
        <f t="shared" si="1"/>
        <v>ko</v>
      </c>
      <c r="E353" s="149" t="str">
        <f t="shared" si="2"/>
        <v>   ko</v>
      </c>
      <c r="F353" s="149" t="b">
        <f>IFERROR(__xludf.DUMMYFUNCTION("""COMPUTED_VALUE"""),FALSE)</f>
        <v>0</v>
      </c>
      <c r="G353" s="149" t="b">
        <f>IFERROR(__xludf.DUMMYFUNCTION("""COMPUTED_VALUE"""),FALSE)</f>
        <v>0</v>
      </c>
      <c r="H353" s="145"/>
    </row>
    <row r="354" ht="15.75" customHeight="1">
      <c r="A354" s="149"/>
      <c r="B354" s="142"/>
      <c r="C354" s="151"/>
      <c r="D354" s="143" t="str">
        <f t="shared" si="1"/>
        <v>ko</v>
      </c>
      <c r="E354" s="149" t="str">
        <f t="shared" si="2"/>
        <v>   ko</v>
      </c>
      <c r="F354" s="149" t="b">
        <f>IFERROR(__xludf.DUMMYFUNCTION("""COMPUTED_VALUE"""),FALSE)</f>
        <v>0</v>
      </c>
      <c r="G354" s="149" t="b">
        <f>IFERROR(__xludf.DUMMYFUNCTION("""COMPUTED_VALUE"""),FALSE)</f>
        <v>0</v>
      </c>
      <c r="H354" s="145"/>
    </row>
    <row r="355" ht="15.75" customHeight="1">
      <c r="A355" s="149"/>
      <c r="B355" s="142"/>
      <c r="C355" s="151"/>
      <c r="D355" s="143" t="str">
        <f t="shared" si="1"/>
        <v>ko</v>
      </c>
      <c r="E355" s="149" t="str">
        <f t="shared" si="2"/>
        <v>   ko</v>
      </c>
      <c r="F355" s="149" t="b">
        <f>IFERROR(__xludf.DUMMYFUNCTION("""COMPUTED_VALUE"""),FALSE)</f>
        <v>0</v>
      </c>
      <c r="G355" s="149" t="b">
        <f>IFERROR(__xludf.DUMMYFUNCTION("""COMPUTED_VALUE"""),FALSE)</f>
        <v>0</v>
      </c>
      <c r="H355" s="145"/>
    </row>
    <row r="356" ht="15.75" customHeight="1">
      <c r="A356" s="149"/>
      <c r="B356" s="142"/>
      <c r="C356" s="151"/>
      <c r="D356" s="143" t="str">
        <f t="shared" si="1"/>
        <v>ko</v>
      </c>
      <c r="E356" s="149" t="str">
        <f t="shared" si="2"/>
        <v>   ko</v>
      </c>
      <c r="F356" s="149" t="b">
        <f>IFERROR(__xludf.DUMMYFUNCTION("""COMPUTED_VALUE"""),FALSE)</f>
        <v>0</v>
      </c>
      <c r="G356" s="149" t="b">
        <f>IFERROR(__xludf.DUMMYFUNCTION("""COMPUTED_VALUE"""),FALSE)</f>
        <v>0</v>
      </c>
      <c r="H356" s="145"/>
    </row>
    <row r="357" ht="15.75" customHeight="1">
      <c r="A357" s="149"/>
      <c r="B357" s="142"/>
      <c r="C357" s="151"/>
      <c r="D357" s="143" t="str">
        <f t="shared" si="1"/>
        <v>ko</v>
      </c>
      <c r="E357" s="149" t="str">
        <f t="shared" si="2"/>
        <v>   ko</v>
      </c>
      <c r="F357" s="149" t="b">
        <f>IFERROR(__xludf.DUMMYFUNCTION("""COMPUTED_VALUE"""),FALSE)</f>
        <v>0</v>
      </c>
      <c r="G357" s="149" t="b">
        <f>IFERROR(__xludf.DUMMYFUNCTION("""COMPUTED_VALUE"""),FALSE)</f>
        <v>0</v>
      </c>
      <c r="H357" s="145"/>
    </row>
    <row r="358" ht="15.75" customHeight="1">
      <c r="A358" s="149"/>
      <c r="B358" s="142"/>
      <c r="C358" s="151"/>
      <c r="D358" s="143" t="str">
        <f t="shared" si="1"/>
        <v>ko</v>
      </c>
      <c r="E358" s="149" t="str">
        <f t="shared" si="2"/>
        <v>   ko</v>
      </c>
      <c r="F358" s="149" t="b">
        <f>IFERROR(__xludf.DUMMYFUNCTION("""COMPUTED_VALUE"""),FALSE)</f>
        <v>0</v>
      </c>
      <c r="G358" s="149" t="b">
        <f>IFERROR(__xludf.DUMMYFUNCTION("""COMPUTED_VALUE"""),FALSE)</f>
        <v>0</v>
      </c>
      <c r="H358" s="145"/>
    </row>
    <row r="359" ht="15.75" customHeight="1">
      <c r="A359" s="149"/>
      <c r="B359" s="142"/>
      <c r="C359" s="151"/>
      <c r="D359" s="143" t="str">
        <f t="shared" si="1"/>
        <v>ko</v>
      </c>
      <c r="E359" s="149" t="str">
        <f t="shared" si="2"/>
        <v>   ko</v>
      </c>
      <c r="F359" s="149" t="b">
        <f>IFERROR(__xludf.DUMMYFUNCTION("""COMPUTED_VALUE"""),FALSE)</f>
        <v>0</v>
      </c>
      <c r="G359" s="149" t="b">
        <f>IFERROR(__xludf.DUMMYFUNCTION("""COMPUTED_VALUE"""),FALSE)</f>
        <v>0</v>
      </c>
      <c r="H359" s="145"/>
    </row>
    <row r="360" ht="15.75" customHeight="1">
      <c r="A360" s="149"/>
      <c r="B360" s="142"/>
      <c r="C360" s="151"/>
      <c r="D360" s="143" t="str">
        <f t="shared" si="1"/>
        <v>ko</v>
      </c>
      <c r="E360" s="149" t="str">
        <f t="shared" si="2"/>
        <v>   ko</v>
      </c>
      <c r="F360" s="149" t="b">
        <f>IFERROR(__xludf.DUMMYFUNCTION("""COMPUTED_VALUE"""),FALSE)</f>
        <v>0</v>
      </c>
      <c r="G360" s="149" t="b">
        <f>IFERROR(__xludf.DUMMYFUNCTION("""COMPUTED_VALUE"""),FALSE)</f>
        <v>0</v>
      </c>
      <c r="H360" s="145"/>
    </row>
    <row r="361" ht="15.75" customHeight="1">
      <c r="A361" s="149"/>
      <c r="B361" s="142"/>
      <c r="C361" s="151"/>
      <c r="D361" s="143" t="str">
        <f t="shared" si="1"/>
        <v>ko</v>
      </c>
      <c r="E361" s="149" t="str">
        <f t="shared" si="2"/>
        <v>   ko</v>
      </c>
      <c r="F361" s="149" t="b">
        <f>IFERROR(__xludf.DUMMYFUNCTION("""COMPUTED_VALUE"""),FALSE)</f>
        <v>0</v>
      </c>
      <c r="G361" s="149" t="b">
        <f>IFERROR(__xludf.DUMMYFUNCTION("""COMPUTED_VALUE"""),FALSE)</f>
        <v>0</v>
      </c>
      <c r="H361" s="145"/>
    </row>
    <row r="362" ht="15.75" customHeight="1">
      <c r="A362" s="149"/>
      <c r="B362" s="142"/>
      <c r="C362" s="151"/>
      <c r="D362" s="143" t="str">
        <f t="shared" si="1"/>
        <v>ko</v>
      </c>
      <c r="E362" s="149" t="str">
        <f t="shared" si="2"/>
        <v>   ko</v>
      </c>
      <c r="F362" s="149" t="b">
        <f>IFERROR(__xludf.DUMMYFUNCTION("""COMPUTED_VALUE"""),FALSE)</f>
        <v>0</v>
      </c>
      <c r="G362" s="149" t="b">
        <f>IFERROR(__xludf.DUMMYFUNCTION("""COMPUTED_VALUE"""),FALSE)</f>
        <v>0</v>
      </c>
      <c r="H362" s="145"/>
    </row>
    <row r="363" ht="15.75" customHeight="1">
      <c r="A363" s="149"/>
      <c r="B363" s="142"/>
      <c r="C363" s="151"/>
      <c r="D363" s="143" t="str">
        <f t="shared" si="1"/>
        <v>ko</v>
      </c>
      <c r="E363" s="149" t="str">
        <f t="shared" si="2"/>
        <v>   ko</v>
      </c>
      <c r="F363" s="149" t="b">
        <f>IFERROR(__xludf.DUMMYFUNCTION("""COMPUTED_VALUE"""),FALSE)</f>
        <v>0</v>
      </c>
      <c r="G363" s="149" t="b">
        <f>IFERROR(__xludf.DUMMYFUNCTION("""COMPUTED_VALUE"""),FALSE)</f>
        <v>0</v>
      </c>
      <c r="H363" s="145"/>
    </row>
    <row r="364" ht="15.75" customHeight="1">
      <c r="A364" s="149"/>
      <c r="B364" s="142"/>
      <c r="C364" s="151"/>
      <c r="D364" s="143" t="str">
        <f t="shared" si="1"/>
        <v>ko</v>
      </c>
      <c r="E364" s="149" t="str">
        <f t="shared" si="2"/>
        <v>   ko</v>
      </c>
      <c r="F364" s="149" t="b">
        <f>IFERROR(__xludf.DUMMYFUNCTION("""COMPUTED_VALUE"""),FALSE)</f>
        <v>0</v>
      </c>
      <c r="G364" s="149" t="b">
        <f>IFERROR(__xludf.DUMMYFUNCTION("""COMPUTED_VALUE"""),FALSE)</f>
        <v>0</v>
      </c>
      <c r="H364" s="145"/>
    </row>
    <row r="365" ht="15.75" customHeight="1">
      <c r="A365" s="149"/>
      <c r="B365" s="142"/>
      <c r="C365" s="151"/>
      <c r="D365" s="143" t="str">
        <f t="shared" si="1"/>
        <v>ko</v>
      </c>
      <c r="E365" s="149" t="str">
        <f t="shared" si="2"/>
        <v>   ko</v>
      </c>
      <c r="F365" s="149" t="b">
        <f>IFERROR(__xludf.DUMMYFUNCTION("""COMPUTED_VALUE"""),FALSE)</f>
        <v>0</v>
      </c>
      <c r="G365" s="149" t="b">
        <f>IFERROR(__xludf.DUMMYFUNCTION("""COMPUTED_VALUE"""),FALSE)</f>
        <v>0</v>
      </c>
      <c r="H365" s="145"/>
    </row>
    <row r="366" ht="15.75" customHeight="1">
      <c r="A366" s="149"/>
      <c r="B366" s="142"/>
      <c r="C366" s="151"/>
      <c r="D366" s="143" t="str">
        <f t="shared" si="1"/>
        <v>ko</v>
      </c>
      <c r="E366" s="149" t="str">
        <f t="shared" si="2"/>
        <v>   ko</v>
      </c>
      <c r="F366" s="149" t="b">
        <f>IFERROR(__xludf.DUMMYFUNCTION("""COMPUTED_VALUE"""),FALSE)</f>
        <v>0</v>
      </c>
      <c r="G366" s="149" t="b">
        <f>IFERROR(__xludf.DUMMYFUNCTION("""COMPUTED_VALUE"""),FALSE)</f>
        <v>0</v>
      </c>
      <c r="H366" s="145"/>
    </row>
    <row r="367" ht="15.75" customHeight="1">
      <c r="A367" s="149"/>
      <c r="B367" s="142"/>
      <c r="C367" s="151"/>
      <c r="D367" s="143" t="str">
        <f t="shared" si="1"/>
        <v>ko</v>
      </c>
      <c r="E367" s="149" t="str">
        <f t="shared" si="2"/>
        <v>   ko</v>
      </c>
      <c r="F367" s="149" t="b">
        <f>IFERROR(__xludf.DUMMYFUNCTION("""COMPUTED_VALUE"""),FALSE)</f>
        <v>0</v>
      </c>
      <c r="G367" s="149" t="b">
        <f>IFERROR(__xludf.DUMMYFUNCTION("""COMPUTED_VALUE"""),FALSE)</f>
        <v>0</v>
      </c>
      <c r="H367" s="145"/>
    </row>
    <row r="368" ht="15.75" customHeight="1">
      <c r="A368" s="149"/>
      <c r="B368" s="142"/>
      <c r="C368" s="151"/>
      <c r="D368" s="143" t="str">
        <f t="shared" si="1"/>
        <v>ko</v>
      </c>
      <c r="E368" s="149" t="str">
        <f t="shared" si="2"/>
        <v>   ko</v>
      </c>
      <c r="F368" s="149" t="b">
        <f>IFERROR(__xludf.DUMMYFUNCTION("""COMPUTED_VALUE"""),FALSE)</f>
        <v>0</v>
      </c>
      <c r="G368" s="149" t="b">
        <f>IFERROR(__xludf.DUMMYFUNCTION("""COMPUTED_VALUE"""),FALSE)</f>
        <v>0</v>
      </c>
      <c r="H368" s="145"/>
    </row>
    <row r="369" ht="15.75" customHeight="1">
      <c r="A369" s="149"/>
      <c r="B369" s="142"/>
      <c r="C369" s="151"/>
      <c r="D369" s="143" t="str">
        <f t="shared" si="1"/>
        <v>ko</v>
      </c>
      <c r="E369" s="149" t="str">
        <f t="shared" si="2"/>
        <v>   ko</v>
      </c>
      <c r="F369" s="149" t="b">
        <f>IFERROR(__xludf.DUMMYFUNCTION("""COMPUTED_VALUE"""),FALSE)</f>
        <v>0</v>
      </c>
      <c r="G369" s="149" t="b">
        <f>IFERROR(__xludf.DUMMYFUNCTION("""COMPUTED_VALUE"""),FALSE)</f>
        <v>0</v>
      </c>
      <c r="H369" s="145"/>
    </row>
    <row r="370" ht="15.75" customHeight="1">
      <c r="A370" s="149"/>
      <c r="B370" s="142"/>
      <c r="C370" s="151"/>
      <c r="D370" s="143" t="str">
        <f t="shared" si="1"/>
        <v>ko</v>
      </c>
      <c r="E370" s="149" t="str">
        <f t="shared" si="2"/>
        <v>   ko</v>
      </c>
      <c r="F370" s="149" t="b">
        <f>IFERROR(__xludf.DUMMYFUNCTION("""COMPUTED_VALUE"""),FALSE)</f>
        <v>0</v>
      </c>
      <c r="G370" s="149" t="b">
        <f>IFERROR(__xludf.DUMMYFUNCTION("""COMPUTED_VALUE"""),FALSE)</f>
        <v>0</v>
      </c>
      <c r="H370" s="145"/>
    </row>
    <row r="371" ht="15.75" customHeight="1">
      <c r="A371" s="149"/>
      <c r="B371" s="142"/>
      <c r="C371" s="151"/>
      <c r="D371" s="143" t="str">
        <f t="shared" si="1"/>
        <v>ko</v>
      </c>
      <c r="E371" s="149" t="str">
        <f t="shared" si="2"/>
        <v>   ko</v>
      </c>
      <c r="F371" s="149" t="b">
        <f>IFERROR(__xludf.DUMMYFUNCTION("""COMPUTED_VALUE"""),FALSE)</f>
        <v>0</v>
      </c>
      <c r="G371" s="149" t="b">
        <f>IFERROR(__xludf.DUMMYFUNCTION("""COMPUTED_VALUE"""),FALSE)</f>
        <v>0</v>
      </c>
      <c r="H371" s="145"/>
    </row>
    <row r="372" ht="15.75" customHeight="1">
      <c r="A372" s="149"/>
      <c r="B372" s="142"/>
      <c r="C372" s="151"/>
      <c r="D372" s="143" t="str">
        <f t="shared" si="1"/>
        <v>ko</v>
      </c>
      <c r="E372" s="149" t="str">
        <f t="shared" si="2"/>
        <v>   ko</v>
      </c>
      <c r="F372" s="149" t="b">
        <f>IFERROR(__xludf.DUMMYFUNCTION("""COMPUTED_VALUE"""),FALSE)</f>
        <v>0</v>
      </c>
      <c r="G372" s="149" t="b">
        <f>IFERROR(__xludf.DUMMYFUNCTION("""COMPUTED_VALUE"""),FALSE)</f>
        <v>0</v>
      </c>
      <c r="H372" s="145"/>
    </row>
    <row r="373" ht="15.75" customHeight="1">
      <c r="A373" s="149"/>
      <c r="B373" s="142"/>
      <c r="C373" s="151"/>
      <c r="D373" s="143" t="str">
        <f t="shared" si="1"/>
        <v>ko</v>
      </c>
      <c r="E373" s="149" t="str">
        <f t="shared" si="2"/>
        <v>   ko</v>
      </c>
      <c r="F373" s="149" t="b">
        <f>IFERROR(__xludf.DUMMYFUNCTION("""COMPUTED_VALUE"""),FALSE)</f>
        <v>0</v>
      </c>
      <c r="G373" s="149" t="b">
        <f>IFERROR(__xludf.DUMMYFUNCTION("""COMPUTED_VALUE"""),FALSE)</f>
        <v>0</v>
      </c>
      <c r="H373" s="145"/>
    </row>
    <row r="374" ht="15.75" customHeight="1">
      <c r="A374" s="149"/>
      <c r="B374" s="142"/>
      <c r="C374" s="151"/>
      <c r="D374" s="143" t="str">
        <f t="shared" si="1"/>
        <v>ko</v>
      </c>
      <c r="E374" s="149" t="str">
        <f t="shared" si="2"/>
        <v>   ko</v>
      </c>
      <c r="F374" s="149" t="b">
        <f>IFERROR(__xludf.DUMMYFUNCTION("""COMPUTED_VALUE"""),FALSE)</f>
        <v>0</v>
      </c>
      <c r="G374" s="149" t="b">
        <f>IFERROR(__xludf.DUMMYFUNCTION("""COMPUTED_VALUE"""),FALSE)</f>
        <v>0</v>
      </c>
      <c r="H374" s="145"/>
    </row>
    <row r="375" ht="15.75" customHeight="1">
      <c r="A375" s="149"/>
      <c r="B375" s="142"/>
      <c r="C375" s="151"/>
      <c r="D375" s="143" t="str">
        <f t="shared" si="1"/>
        <v>ko</v>
      </c>
      <c r="E375" s="149" t="str">
        <f t="shared" si="2"/>
        <v>   ko</v>
      </c>
      <c r="F375" s="149" t="b">
        <f>IFERROR(__xludf.DUMMYFUNCTION("""COMPUTED_VALUE"""),FALSE)</f>
        <v>0</v>
      </c>
      <c r="G375" s="149" t="b">
        <f>IFERROR(__xludf.DUMMYFUNCTION("""COMPUTED_VALUE"""),FALSE)</f>
        <v>0</v>
      </c>
      <c r="H375" s="145"/>
    </row>
    <row r="376" ht="15.75" customHeight="1">
      <c r="A376" s="149"/>
      <c r="B376" s="142"/>
      <c r="C376" s="151"/>
      <c r="D376" s="143" t="str">
        <f t="shared" si="1"/>
        <v>ko</v>
      </c>
      <c r="E376" s="149" t="str">
        <f t="shared" si="2"/>
        <v>   ko</v>
      </c>
      <c r="F376" s="149" t="b">
        <f>IFERROR(__xludf.DUMMYFUNCTION("""COMPUTED_VALUE"""),FALSE)</f>
        <v>0</v>
      </c>
      <c r="G376" s="149" t="b">
        <f>IFERROR(__xludf.DUMMYFUNCTION("""COMPUTED_VALUE"""),FALSE)</f>
        <v>0</v>
      </c>
      <c r="H376" s="145"/>
    </row>
    <row r="377" ht="15.75" customHeight="1">
      <c r="A377" s="149"/>
      <c r="B377" s="142"/>
      <c r="C377" s="151"/>
      <c r="D377" s="143" t="str">
        <f t="shared" si="1"/>
        <v>ko</v>
      </c>
      <c r="E377" s="149" t="str">
        <f t="shared" si="2"/>
        <v>   ko</v>
      </c>
      <c r="F377" s="149" t="b">
        <f>IFERROR(__xludf.DUMMYFUNCTION("""COMPUTED_VALUE"""),FALSE)</f>
        <v>0</v>
      </c>
      <c r="G377" s="149" t="b">
        <f>IFERROR(__xludf.DUMMYFUNCTION("""COMPUTED_VALUE"""),FALSE)</f>
        <v>0</v>
      </c>
      <c r="H377" s="145"/>
    </row>
    <row r="378" ht="15.75" customHeight="1">
      <c r="A378" s="149"/>
      <c r="B378" s="142"/>
      <c r="C378" s="151"/>
      <c r="D378" s="143" t="str">
        <f t="shared" si="1"/>
        <v>ko</v>
      </c>
      <c r="E378" s="149" t="str">
        <f t="shared" si="2"/>
        <v>   ko</v>
      </c>
      <c r="F378" s="149" t="b">
        <f>IFERROR(__xludf.DUMMYFUNCTION("""COMPUTED_VALUE"""),FALSE)</f>
        <v>0</v>
      </c>
      <c r="G378" s="149" t="b">
        <f>IFERROR(__xludf.DUMMYFUNCTION("""COMPUTED_VALUE"""),FALSE)</f>
        <v>0</v>
      </c>
      <c r="H378" s="145"/>
    </row>
    <row r="379" ht="15.75" customHeight="1">
      <c r="A379" s="149"/>
      <c r="B379" s="142"/>
      <c r="C379" s="151"/>
      <c r="D379" s="143" t="str">
        <f t="shared" si="1"/>
        <v>ko</v>
      </c>
      <c r="E379" s="149" t="str">
        <f t="shared" si="2"/>
        <v>   ko</v>
      </c>
      <c r="F379" s="149" t="b">
        <f>IFERROR(__xludf.DUMMYFUNCTION("""COMPUTED_VALUE"""),FALSE)</f>
        <v>0</v>
      </c>
      <c r="G379" s="149" t="b">
        <f>IFERROR(__xludf.DUMMYFUNCTION("""COMPUTED_VALUE"""),FALSE)</f>
        <v>0</v>
      </c>
      <c r="H379" s="145"/>
    </row>
    <row r="380" ht="15.75" customHeight="1">
      <c r="A380" s="149"/>
      <c r="B380" s="142"/>
      <c r="C380" s="151"/>
      <c r="D380" s="143" t="str">
        <f t="shared" si="1"/>
        <v>ko</v>
      </c>
      <c r="E380" s="149" t="str">
        <f t="shared" si="2"/>
        <v>   ko</v>
      </c>
      <c r="F380" s="149" t="b">
        <f>IFERROR(__xludf.DUMMYFUNCTION("""COMPUTED_VALUE"""),FALSE)</f>
        <v>0</v>
      </c>
      <c r="G380" s="149" t="b">
        <f>IFERROR(__xludf.DUMMYFUNCTION("""COMPUTED_VALUE"""),FALSE)</f>
        <v>0</v>
      </c>
      <c r="H380" s="145"/>
    </row>
    <row r="381" ht="15.75" customHeight="1">
      <c r="A381" s="149"/>
      <c r="B381" s="142"/>
      <c r="C381" s="151"/>
      <c r="D381" s="143" t="str">
        <f t="shared" si="1"/>
        <v>ko</v>
      </c>
      <c r="E381" s="149" t="str">
        <f t="shared" si="2"/>
        <v>   ko</v>
      </c>
      <c r="F381" s="149" t="b">
        <f>IFERROR(__xludf.DUMMYFUNCTION("""COMPUTED_VALUE"""),FALSE)</f>
        <v>0</v>
      </c>
      <c r="G381" s="149" t="b">
        <f>IFERROR(__xludf.DUMMYFUNCTION("""COMPUTED_VALUE"""),FALSE)</f>
        <v>0</v>
      </c>
      <c r="H381" s="145"/>
    </row>
    <row r="382" ht="15.75" customHeight="1">
      <c r="A382" s="149"/>
      <c r="B382" s="142"/>
      <c r="C382" s="151"/>
      <c r="D382" s="143" t="str">
        <f t="shared" si="1"/>
        <v>ko</v>
      </c>
      <c r="E382" s="149" t="str">
        <f t="shared" si="2"/>
        <v>   ko</v>
      </c>
      <c r="F382" s="149" t="b">
        <f>IFERROR(__xludf.DUMMYFUNCTION("""COMPUTED_VALUE"""),FALSE)</f>
        <v>0</v>
      </c>
      <c r="G382" s="149" t="b">
        <f>IFERROR(__xludf.DUMMYFUNCTION("""COMPUTED_VALUE"""),FALSE)</f>
        <v>0</v>
      </c>
      <c r="H382" s="145"/>
    </row>
    <row r="383" ht="15.75" customHeight="1">
      <c r="A383" s="149"/>
      <c r="B383" s="142"/>
      <c r="C383" s="151"/>
      <c r="D383" s="143" t="str">
        <f t="shared" si="1"/>
        <v>ko</v>
      </c>
      <c r="E383" s="149" t="str">
        <f t="shared" si="2"/>
        <v>   ko</v>
      </c>
      <c r="F383" s="149" t="b">
        <f>IFERROR(__xludf.DUMMYFUNCTION("""COMPUTED_VALUE"""),FALSE)</f>
        <v>0</v>
      </c>
      <c r="G383" s="149" t="b">
        <f>IFERROR(__xludf.DUMMYFUNCTION("""COMPUTED_VALUE"""),FALSE)</f>
        <v>0</v>
      </c>
      <c r="H383" s="145"/>
    </row>
    <row r="384" ht="15.75" customHeight="1">
      <c r="A384" s="149"/>
      <c r="B384" s="142"/>
      <c r="C384" s="151"/>
      <c r="D384" s="143" t="str">
        <f t="shared" si="1"/>
        <v>ko</v>
      </c>
      <c r="E384" s="149" t="str">
        <f t="shared" si="2"/>
        <v>   ko</v>
      </c>
      <c r="F384" s="149" t="b">
        <f>IFERROR(__xludf.DUMMYFUNCTION("""COMPUTED_VALUE"""),FALSE)</f>
        <v>0</v>
      </c>
      <c r="G384" s="149" t="b">
        <f>IFERROR(__xludf.DUMMYFUNCTION("""COMPUTED_VALUE"""),FALSE)</f>
        <v>0</v>
      </c>
      <c r="H384" s="145"/>
    </row>
    <row r="385" ht="15.75" customHeight="1">
      <c r="A385" s="149"/>
      <c r="B385" s="142"/>
      <c r="C385" s="151"/>
      <c r="D385" s="143" t="str">
        <f t="shared" si="1"/>
        <v>ko</v>
      </c>
      <c r="E385" s="149" t="str">
        <f t="shared" si="2"/>
        <v>   ko</v>
      </c>
      <c r="F385" s="149" t="b">
        <f>IFERROR(__xludf.DUMMYFUNCTION("""COMPUTED_VALUE"""),FALSE)</f>
        <v>0</v>
      </c>
      <c r="G385" s="149" t="b">
        <f>IFERROR(__xludf.DUMMYFUNCTION("""COMPUTED_VALUE"""),FALSE)</f>
        <v>0</v>
      </c>
      <c r="H385" s="145"/>
    </row>
    <row r="386" ht="15.75" customHeight="1">
      <c r="A386" s="149"/>
      <c r="B386" s="142"/>
      <c r="C386" s="151"/>
      <c r="D386" s="143" t="str">
        <f t="shared" si="1"/>
        <v>ko</v>
      </c>
      <c r="E386" s="149" t="str">
        <f t="shared" si="2"/>
        <v>   ko</v>
      </c>
      <c r="F386" s="149" t="b">
        <f>IFERROR(__xludf.DUMMYFUNCTION("""COMPUTED_VALUE"""),FALSE)</f>
        <v>0</v>
      </c>
      <c r="G386" s="149" t="b">
        <f>IFERROR(__xludf.DUMMYFUNCTION("""COMPUTED_VALUE"""),FALSE)</f>
        <v>0</v>
      </c>
      <c r="H386" s="145"/>
    </row>
    <row r="387" ht="15.75" customHeight="1">
      <c r="A387" s="149"/>
      <c r="B387" s="142"/>
      <c r="C387" s="151"/>
      <c r="D387" s="143" t="str">
        <f t="shared" si="1"/>
        <v>ko</v>
      </c>
      <c r="E387" s="149" t="str">
        <f t="shared" si="2"/>
        <v>   ko</v>
      </c>
      <c r="F387" s="149" t="b">
        <f>IFERROR(__xludf.DUMMYFUNCTION("""COMPUTED_VALUE"""),FALSE)</f>
        <v>0</v>
      </c>
      <c r="G387" s="149" t="b">
        <f>IFERROR(__xludf.DUMMYFUNCTION("""COMPUTED_VALUE"""),FALSE)</f>
        <v>0</v>
      </c>
      <c r="H387" s="145"/>
    </row>
    <row r="388" ht="15.75" customHeight="1">
      <c r="A388" s="149"/>
      <c r="B388" s="142"/>
      <c r="C388" s="151"/>
      <c r="D388" s="143" t="str">
        <f t="shared" si="1"/>
        <v>ko</v>
      </c>
      <c r="E388" s="149" t="str">
        <f t="shared" si="2"/>
        <v>   ko</v>
      </c>
      <c r="F388" s="149" t="b">
        <f>IFERROR(__xludf.DUMMYFUNCTION("""COMPUTED_VALUE"""),FALSE)</f>
        <v>0</v>
      </c>
      <c r="G388" s="149" t="b">
        <f>IFERROR(__xludf.DUMMYFUNCTION("""COMPUTED_VALUE"""),FALSE)</f>
        <v>0</v>
      </c>
      <c r="H388" s="145"/>
    </row>
    <row r="389" ht="15.75" customHeight="1">
      <c r="A389" s="149"/>
      <c r="B389" s="142"/>
      <c r="C389" s="151"/>
      <c r="D389" s="143" t="str">
        <f t="shared" si="1"/>
        <v>ko</v>
      </c>
      <c r="E389" s="149" t="str">
        <f t="shared" si="2"/>
        <v>   ko</v>
      </c>
      <c r="F389" s="149" t="b">
        <f>IFERROR(__xludf.DUMMYFUNCTION("""COMPUTED_VALUE"""),FALSE)</f>
        <v>0</v>
      </c>
      <c r="G389" s="149" t="b">
        <f>IFERROR(__xludf.DUMMYFUNCTION("""COMPUTED_VALUE"""),FALSE)</f>
        <v>0</v>
      </c>
      <c r="H389" s="145"/>
    </row>
    <row r="390" ht="15.75" customHeight="1">
      <c r="A390" s="149"/>
      <c r="B390" s="142"/>
      <c r="C390" s="151"/>
      <c r="D390" s="143" t="str">
        <f t="shared" si="1"/>
        <v>ko</v>
      </c>
      <c r="E390" s="149" t="str">
        <f t="shared" si="2"/>
        <v>   ko</v>
      </c>
      <c r="F390" s="149" t="b">
        <f>IFERROR(__xludf.DUMMYFUNCTION("""COMPUTED_VALUE"""),FALSE)</f>
        <v>0</v>
      </c>
      <c r="G390" s="149" t="b">
        <f>IFERROR(__xludf.DUMMYFUNCTION("""COMPUTED_VALUE"""),FALSE)</f>
        <v>0</v>
      </c>
      <c r="H390" s="145"/>
    </row>
    <row r="391" ht="15.75" customHeight="1">
      <c r="A391" s="149"/>
      <c r="B391" s="142"/>
      <c r="C391" s="151"/>
      <c r="D391" s="143" t="str">
        <f t="shared" si="1"/>
        <v>ko</v>
      </c>
      <c r="E391" s="149" t="str">
        <f t="shared" si="2"/>
        <v>   ko</v>
      </c>
      <c r="F391" s="149" t="b">
        <f>IFERROR(__xludf.DUMMYFUNCTION("""COMPUTED_VALUE"""),FALSE)</f>
        <v>0</v>
      </c>
      <c r="G391" s="149" t="b">
        <f>IFERROR(__xludf.DUMMYFUNCTION("""COMPUTED_VALUE"""),FALSE)</f>
        <v>0</v>
      </c>
      <c r="H391" s="145"/>
    </row>
    <row r="392" ht="15.75" customHeight="1">
      <c r="A392" s="149"/>
      <c r="B392" s="142"/>
      <c r="C392" s="151"/>
      <c r="D392" s="143" t="str">
        <f t="shared" si="1"/>
        <v>ko</v>
      </c>
      <c r="E392" s="149" t="str">
        <f t="shared" si="2"/>
        <v>   ko</v>
      </c>
      <c r="F392" s="149" t="b">
        <f>IFERROR(__xludf.DUMMYFUNCTION("""COMPUTED_VALUE"""),FALSE)</f>
        <v>0</v>
      </c>
      <c r="G392" s="149" t="b">
        <f>IFERROR(__xludf.DUMMYFUNCTION("""COMPUTED_VALUE"""),FALSE)</f>
        <v>0</v>
      </c>
      <c r="H392" s="145"/>
    </row>
    <row r="393" ht="15.75" customHeight="1">
      <c r="A393" s="149"/>
      <c r="B393" s="142"/>
      <c r="C393" s="151"/>
      <c r="D393" s="143" t="str">
        <f t="shared" si="1"/>
        <v>ko</v>
      </c>
      <c r="E393" s="149" t="str">
        <f t="shared" si="2"/>
        <v>   ko</v>
      </c>
      <c r="F393" s="149" t="b">
        <f>IFERROR(__xludf.DUMMYFUNCTION("""COMPUTED_VALUE"""),FALSE)</f>
        <v>0</v>
      </c>
      <c r="G393" s="149" t="b">
        <f>IFERROR(__xludf.DUMMYFUNCTION("""COMPUTED_VALUE"""),FALSE)</f>
        <v>0</v>
      </c>
      <c r="H393" s="145"/>
    </row>
    <row r="394" ht="15.75" customHeight="1">
      <c r="A394" s="149"/>
      <c r="B394" s="142"/>
      <c r="C394" s="151"/>
      <c r="D394" s="143" t="str">
        <f t="shared" si="1"/>
        <v>ko</v>
      </c>
      <c r="E394" s="149" t="str">
        <f t="shared" si="2"/>
        <v>   ko</v>
      </c>
      <c r="F394" s="149" t="b">
        <f>IFERROR(__xludf.DUMMYFUNCTION("""COMPUTED_VALUE"""),FALSE)</f>
        <v>0</v>
      </c>
      <c r="G394" s="149" t="b">
        <f>IFERROR(__xludf.DUMMYFUNCTION("""COMPUTED_VALUE"""),FALSE)</f>
        <v>0</v>
      </c>
      <c r="H394" s="145"/>
    </row>
    <row r="395" ht="15.75" customHeight="1">
      <c r="A395" s="149"/>
      <c r="B395" s="142"/>
      <c r="C395" s="151"/>
      <c r="D395" s="143" t="str">
        <f t="shared" si="1"/>
        <v>ko</v>
      </c>
      <c r="E395" s="149" t="str">
        <f t="shared" si="2"/>
        <v>   ko</v>
      </c>
      <c r="F395" s="149" t="b">
        <f>IFERROR(__xludf.DUMMYFUNCTION("""COMPUTED_VALUE"""),FALSE)</f>
        <v>0</v>
      </c>
      <c r="G395" s="149" t="b">
        <f>IFERROR(__xludf.DUMMYFUNCTION("""COMPUTED_VALUE"""),FALSE)</f>
        <v>0</v>
      </c>
      <c r="H395" s="145"/>
    </row>
    <row r="396" ht="15.75" customHeight="1">
      <c r="A396" s="149"/>
      <c r="B396" s="142"/>
      <c r="C396" s="151"/>
      <c r="D396" s="143" t="str">
        <f t="shared" si="1"/>
        <v>ko</v>
      </c>
      <c r="E396" s="149" t="str">
        <f t="shared" si="2"/>
        <v>   ko</v>
      </c>
      <c r="F396" s="149" t="b">
        <f>IFERROR(__xludf.DUMMYFUNCTION("""COMPUTED_VALUE"""),FALSE)</f>
        <v>0</v>
      </c>
      <c r="G396" s="149" t="b">
        <f>IFERROR(__xludf.DUMMYFUNCTION("""COMPUTED_VALUE"""),FALSE)</f>
        <v>0</v>
      </c>
      <c r="H396" s="145"/>
    </row>
    <row r="397" ht="15.75" customHeight="1">
      <c r="A397" s="149"/>
      <c r="B397" s="142"/>
      <c r="C397" s="151"/>
      <c r="D397" s="143" t="str">
        <f t="shared" si="1"/>
        <v>ko</v>
      </c>
      <c r="E397" s="149" t="str">
        <f t="shared" si="2"/>
        <v>   ko</v>
      </c>
      <c r="F397" s="149" t="b">
        <f>IFERROR(__xludf.DUMMYFUNCTION("""COMPUTED_VALUE"""),FALSE)</f>
        <v>0</v>
      </c>
      <c r="G397" s="149" t="b">
        <f>IFERROR(__xludf.DUMMYFUNCTION("""COMPUTED_VALUE"""),FALSE)</f>
        <v>0</v>
      </c>
      <c r="H397" s="145"/>
    </row>
    <row r="398" ht="15.75" customHeight="1">
      <c r="A398" s="149"/>
      <c r="B398" s="142"/>
      <c r="C398" s="151"/>
      <c r="D398" s="143" t="str">
        <f t="shared" si="1"/>
        <v>ko</v>
      </c>
      <c r="E398" s="149" t="str">
        <f t="shared" si="2"/>
        <v>   ko</v>
      </c>
      <c r="F398" s="149" t="b">
        <f>IFERROR(__xludf.DUMMYFUNCTION("""COMPUTED_VALUE"""),FALSE)</f>
        <v>0</v>
      </c>
      <c r="G398" s="149" t="b">
        <f>IFERROR(__xludf.DUMMYFUNCTION("""COMPUTED_VALUE"""),FALSE)</f>
        <v>0</v>
      </c>
      <c r="H398" s="145"/>
    </row>
    <row r="399" ht="15.75" customHeight="1">
      <c r="A399" s="149"/>
      <c r="B399" s="142"/>
      <c r="C399" s="151"/>
      <c r="D399" s="143" t="str">
        <f t="shared" si="1"/>
        <v>ko</v>
      </c>
      <c r="E399" s="149" t="str">
        <f t="shared" si="2"/>
        <v>   ko</v>
      </c>
      <c r="F399" s="149" t="b">
        <f>IFERROR(__xludf.DUMMYFUNCTION("""COMPUTED_VALUE"""),FALSE)</f>
        <v>0</v>
      </c>
      <c r="G399" s="149" t="b">
        <f>IFERROR(__xludf.DUMMYFUNCTION("""COMPUTED_VALUE"""),FALSE)</f>
        <v>0</v>
      </c>
      <c r="H399" s="145"/>
    </row>
    <row r="400" ht="15.75" customHeight="1">
      <c r="A400" s="149"/>
      <c r="B400" s="142"/>
      <c r="C400" s="151"/>
      <c r="D400" s="143" t="str">
        <f t="shared" si="1"/>
        <v>ko</v>
      </c>
      <c r="E400" s="149" t="str">
        <f t="shared" si="2"/>
        <v>   ko</v>
      </c>
      <c r="F400" s="149" t="b">
        <f>IFERROR(__xludf.DUMMYFUNCTION("""COMPUTED_VALUE"""),FALSE)</f>
        <v>0</v>
      </c>
      <c r="G400" s="149" t="b">
        <f>IFERROR(__xludf.DUMMYFUNCTION("""COMPUTED_VALUE"""),FALSE)</f>
        <v>0</v>
      </c>
      <c r="H400" s="145"/>
    </row>
    <row r="401" ht="15.75" customHeight="1">
      <c r="A401" s="149"/>
      <c r="B401" s="142"/>
      <c r="C401" s="151"/>
      <c r="D401" s="143" t="str">
        <f t="shared" si="1"/>
        <v>ko</v>
      </c>
      <c r="E401" s="149" t="str">
        <f t="shared" si="2"/>
        <v>   ko</v>
      </c>
      <c r="H401" s="145"/>
    </row>
    <row r="402" ht="15.75" customHeight="1">
      <c r="B402" s="142"/>
      <c r="C402" s="151"/>
      <c r="D402" s="143"/>
      <c r="E402" s="149" t="str">
        <f t="shared" si="2"/>
        <v>   </v>
      </c>
      <c r="H402" s="145"/>
    </row>
    <row r="403" ht="15.75" customHeight="1">
      <c r="B403" s="142"/>
      <c r="C403" s="151"/>
      <c r="D403" s="143"/>
      <c r="E403" s="149" t="str">
        <f t="shared" si="2"/>
        <v>   </v>
      </c>
      <c r="H403" s="145"/>
    </row>
    <row r="404" ht="15.75" customHeight="1">
      <c r="B404" s="142"/>
      <c r="C404" s="151"/>
      <c r="D404" s="143"/>
      <c r="E404" s="149" t="str">
        <f t="shared" si="2"/>
        <v>   </v>
      </c>
      <c r="H404" s="145"/>
    </row>
    <row r="405" ht="15.75" customHeight="1">
      <c r="B405" s="142"/>
      <c r="C405" s="151"/>
      <c r="D405" s="143"/>
      <c r="E405" s="149" t="str">
        <f t="shared" si="2"/>
        <v>   </v>
      </c>
      <c r="H405" s="145"/>
    </row>
    <row r="406" ht="15.75" customHeight="1">
      <c r="B406" s="142"/>
      <c r="C406" s="151"/>
      <c r="D406" s="143"/>
      <c r="E406" s="149" t="str">
        <f t="shared" si="2"/>
        <v>   </v>
      </c>
      <c r="H406" s="145"/>
    </row>
    <row r="407" ht="15.75" customHeight="1">
      <c r="B407" s="142"/>
      <c r="C407" s="151"/>
      <c r="D407" s="143"/>
      <c r="E407" s="149" t="str">
        <f t="shared" si="2"/>
        <v>   </v>
      </c>
      <c r="H407" s="145"/>
    </row>
    <row r="408" ht="15.75" customHeight="1">
      <c r="B408" s="142"/>
      <c r="C408" s="151"/>
      <c r="D408" s="143"/>
      <c r="E408" s="149" t="str">
        <f t="shared" si="2"/>
        <v>   </v>
      </c>
      <c r="H408" s="145"/>
    </row>
    <row r="409" ht="15.75" customHeight="1">
      <c r="B409" s="142"/>
      <c r="C409" s="151"/>
      <c r="D409" s="143"/>
      <c r="E409" s="149" t="str">
        <f t="shared" si="2"/>
        <v>   </v>
      </c>
      <c r="H409" s="145"/>
    </row>
    <row r="410" ht="15.75" customHeight="1">
      <c r="B410" s="142"/>
      <c r="C410" s="151"/>
      <c r="D410" s="143"/>
      <c r="E410" s="149" t="str">
        <f t="shared" si="2"/>
        <v>   </v>
      </c>
      <c r="H410" s="145"/>
    </row>
    <row r="411" ht="15.75" customHeight="1">
      <c r="B411" s="142"/>
      <c r="C411" s="151"/>
      <c r="D411" s="143"/>
      <c r="E411" s="149" t="str">
        <f t="shared" si="2"/>
        <v>   </v>
      </c>
      <c r="H411" s="145"/>
    </row>
    <row r="412" ht="15.75" customHeight="1">
      <c r="B412" s="142"/>
      <c r="C412" s="151"/>
      <c r="D412" s="143"/>
      <c r="E412" s="149" t="str">
        <f t="shared" si="2"/>
        <v>   </v>
      </c>
      <c r="H412" s="145"/>
    </row>
    <row r="413" ht="15.75" customHeight="1">
      <c r="B413" s="142"/>
      <c r="C413" s="151"/>
      <c r="D413" s="143"/>
      <c r="E413" s="149" t="str">
        <f t="shared" ref="E413:E444" si="5">A413&amp;" "&amp;D413</f>
        <v> </v>
      </c>
      <c r="H413" s="145"/>
    </row>
    <row r="414" ht="15.75" customHeight="1">
      <c r="B414" s="142"/>
      <c r="C414" s="151"/>
      <c r="D414" s="143"/>
      <c r="E414" s="149" t="str">
        <f t="shared" si="5"/>
        <v> </v>
      </c>
      <c r="H414" s="145"/>
    </row>
    <row r="415" ht="15.75" customHeight="1">
      <c r="B415" s="142"/>
      <c r="C415" s="151"/>
      <c r="D415" s="143"/>
      <c r="E415" s="149" t="str">
        <f t="shared" si="5"/>
        <v> </v>
      </c>
      <c r="H415" s="145"/>
    </row>
    <row r="416" ht="15.75" customHeight="1">
      <c r="B416" s="142"/>
      <c r="C416" s="151"/>
      <c r="D416" s="143"/>
      <c r="E416" s="149" t="str">
        <f t="shared" si="5"/>
        <v> </v>
      </c>
      <c r="H416" s="145"/>
    </row>
    <row r="417" ht="15.75" customHeight="1">
      <c r="B417" s="142"/>
      <c r="C417" s="151"/>
      <c r="D417" s="143"/>
      <c r="E417" s="149" t="str">
        <f t="shared" si="5"/>
        <v> </v>
      </c>
      <c r="H417" s="145"/>
    </row>
    <row r="418" ht="15.75" customHeight="1">
      <c r="B418" s="142"/>
      <c r="C418" s="151"/>
      <c r="D418" s="143"/>
      <c r="E418" s="149" t="str">
        <f t="shared" si="5"/>
        <v> </v>
      </c>
      <c r="H418" s="145"/>
    </row>
    <row r="419" ht="15.75" customHeight="1">
      <c r="B419" s="142"/>
      <c r="C419" s="151"/>
      <c r="D419" s="143"/>
      <c r="E419" s="149" t="str">
        <f t="shared" si="5"/>
        <v> </v>
      </c>
      <c r="H419" s="145"/>
    </row>
    <row r="420" ht="15.75" customHeight="1">
      <c r="B420" s="142"/>
      <c r="C420" s="151"/>
      <c r="D420" s="143"/>
      <c r="E420" s="149" t="str">
        <f t="shared" si="5"/>
        <v> </v>
      </c>
      <c r="H420" s="145"/>
    </row>
    <row r="421" ht="15.75" customHeight="1">
      <c r="B421" s="142"/>
      <c r="C421" s="151"/>
      <c r="D421" s="143"/>
      <c r="E421" s="149" t="str">
        <f t="shared" si="5"/>
        <v> </v>
      </c>
      <c r="H421" s="145"/>
    </row>
    <row r="422" ht="15.75" customHeight="1">
      <c r="B422" s="142"/>
      <c r="C422" s="151"/>
      <c r="D422" s="143"/>
      <c r="E422" s="149" t="str">
        <f t="shared" si="5"/>
        <v> </v>
      </c>
      <c r="H422" s="145"/>
    </row>
    <row r="423" ht="15.75" customHeight="1">
      <c r="B423" s="142"/>
      <c r="C423" s="151"/>
      <c r="D423" s="143"/>
      <c r="E423" s="149" t="str">
        <f t="shared" si="5"/>
        <v> </v>
      </c>
      <c r="H423" s="145"/>
    </row>
    <row r="424" ht="15.75" customHeight="1">
      <c r="B424" s="142"/>
      <c r="C424" s="151"/>
      <c r="D424" s="143"/>
      <c r="E424" s="149" t="str">
        <f t="shared" si="5"/>
        <v> </v>
      </c>
      <c r="H424" s="145"/>
    </row>
    <row r="425" ht="15.75" customHeight="1">
      <c r="B425" s="142"/>
      <c r="C425" s="151"/>
      <c r="D425" s="143"/>
      <c r="E425" s="149" t="str">
        <f t="shared" si="5"/>
        <v> </v>
      </c>
      <c r="H425" s="145"/>
    </row>
    <row r="426" ht="15.75" customHeight="1">
      <c r="B426" s="142"/>
      <c r="C426" s="151"/>
      <c r="D426" s="143"/>
      <c r="E426" s="149" t="str">
        <f t="shared" si="5"/>
        <v> </v>
      </c>
      <c r="H426" s="145"/>
    </row>
    <row r="427" ht="15.75" customHeight="1">
      <c r="B427" s="142"/>
      <c r="C427" s="151"/>
      <c r="D427" s="143"/>
      <c r="E427" s="149" t="str">
        <f t="shared" si="5"/>
        <v> </v>
      </c>
      <c r="H427" s="145"/>
    </row>
    <row r="428" ht="15.75" customHeight="1">
      <c r="B428" s="142"/>
      <c r="C428" s="151"/>
      <c r="D428" s="143"/>
      <c r="E428" s="149" t="str">
        <f t="shared" si="5"/>
        <v> </v>
      </c>
      <c r="H428" s="145"/>
    </row>
    <row r="429" ht="15.75" customHeight="1">
      <c r="B429" s="142"/>
      <c r="C429" s="151"/>
      <c r="D429" s="143"/>
      <c r="E429" s="149" t="str">
        <f t="shared" si="5"/>
        <v> </v>
      </c>
      <c r="H429" s="145"/>
    </row>
    <row r="430" ht="15.75" customHeight="1">
      <c r="B430" s="142"/>
      <c r="C430" s="151"/>
      <c r="D430" s="143"/>
      <c r="E430" s="149" t="str">
        <f t="shared" si="5"/>
        <v> </v>
      </c>
      <c r="H430" s="145"/>
    </row>
    <row r="431" ht="15.75" customHeight="1">
      <c r="B431" s="142"/>
      <c r="C431" s="151"/>
      <c r="D431" s="143"/>
      <c r="E431" s="149" t="str">
        <f t="shared" si="5"/>
        <v> </v>
      </c>
      <c r="H431" s="145"/>
    </row>
    <row r="432" ht="15.75" customHeight="1">
      <c r="B432" s="142"/>
      <c r="C432" s="151"/>
      <c r="D432" s="143"/>
      <c r="E432" s="149" t="str">
        <f t="shared" si="5"/>
        <v> </v>
      </c>
      <c r="H432" s="145"/>
    </row>
    <row r="433" ht="15.75" customHeight="1">
      <c r="B433" s="142"/>
      <c r="C433" s="151"/>
      <c r="D433" s="143"/>
      <c r="E433" s="149" t="str">
        <f t="shared" si="5"/>
        <v> </v>
      </c>
      <c r="H433" s="145"/>
    </row>
    <row r="434" ht="15.75" customHeight="1">
      <c r="B434" s="142"/>
      <c r="C434" s="151"/>
      <c r="D434" s="143"/>
      <c r="E434" s="149" t="str">
        <f t="shared" si="5"/>
        <v> </v>
      </c>
      <c r="H434" s="145"/>
    </row>
    <row r="435" ht="15.75" customHeight="1">
      <c r="B435" s="142"/>
      <c r="C435" s="151"/>
      <c r="D435" s="143"/>
      <c r="E435" s="149" t="str">
        <f t="shared" si="5"/>
        <v> </v>
      </c>
      <c r="H435" s="145"/>
    </row>
    <row r="436" ht="15.75" customHeight="1">
      <c r="B436" s="142"/>
      <c r="C436" s="151"/>
      <c r="D436" s="143"/>
      <c r="E436" s="149" t="str">
        <f t="shared" si="5"/>
        <v> </v>
      </c>
      <c r="H436" s="145"/>
    </row>
    <row r="437" ht="15.75" customHeight="1">
      <c r="B437" s="142"/>
      <c r="C437" s="151"/>
      <c r="D437" s="143"/>
      <c r="E437" s="149" t="str">
        <f t="shared" si="5"/>
        <v> </v>
      </c>
      <c r="H437" s="145"/>
    </row>
    <row r="438" ht="15.75" customHeight="1">
      <c r="B438" s="142"/>
      <c r="C438" s="151"/>
      <c r="D438" s="143"/>
      <c r="E438" s="149" t="str">
        <f t="shared" si="5"/>
        <v> </v>
      </c>
      <c r="H438" s="145"/>
    </row>
    <row r="439" ht="15.75" customHeight="1">
      <c r="B439" s="142"/>
      <c r="C439" s="151"/>
      <c r="D439" s="143"/>
      <c r="E439" s="149" t="str">
        <f t="shared" si="5"/>
        <v> </v>
      </c>
      <c r="H439" s="145"/>
    </row>
    <row r="440" ht="15.75" customHeight="1">
      <c r="B440" s="142"/>
      <c r="C440" s="151"/>
      <c r="D440" s="143"/>
      <c r="E440" s="149" t="str">
        <f t="shared" si="5"/>
        <v> </v>
      </c>
      <c r="H440" s="145"/>
    </row>
    <row r="441" ht="15.75" customHeight="1">
      <c r="B441" s="142"/>
      <c r="C441" s="151"/>
      <c r="D441" s="143"/>
      <c r="E441" s="149" t="str">
        <f t="shared" si="5"/>
        <v> </v>
      </c>
      <c r="H441" s="145"/>
    </row>
    <row r="442" ht="15.75" customHeight="1">
      <c r="B442" s="142"/>
      <c r="C442" s="151"/>
      <c r="D442" s="143"/>
      <c r="E442" s="149" t="str">
        <f t="shared" si="5"/>
        <v> </v>
      </c>
      <c r="H442" s="145"/>
    </row>
    <row r="443" ht="15.75" customHeight="1">
      <c r="B443" s="142"/>
      <c r="C443" s="151"/>
      <c r="D443" s="143"/>
      <c r="E443" s="149" t="str">
        <f t="shared" si="5"/>
        <v> </v>
      </c>
      <c r="H443" s="145"/>
    </row>
    <row r="444" ht="15.75" customHeight="1">
      <c r="B444" s="142"/>
      <c r="C444" s="151"/>
      <c r="D444" s="143"/>
      <c r="E444" s="149" t="str">
        <f t="shared" si="5"/>
        <v> </v>
      </c>
      <c r="H444" s="145"/>
    </row>
    <row r="445" ht="15.75" customHeight="1">
      <c r="B445" s="142"/>
      <c r="C445" s="151"/>
      <c r="D445" s="143"/>
      <c r="H445" s="145"/>
    </row>
    <row r="446" ht="15.75" customHeight="1">
      <c r="B446" s="142"/>
      <c r="C446" s="151"/>
      <c r="D446" s="143"/>
      <c r="H446" s="145"/>
    </row>
    <row r="447" ht="15.75" customHeight="1">
      <c r="B447" s="142"/>
      <c r="C447" s="151"/>
      <c r="D447" s="143"/>
      <c r="H447" s="145"/>
    </row>
    <row r="448" ht="15.75" customHeight="1">
      <c r="B448" s="142"/>
      <c r="C448" s="151"/>
      <c r="D448" s="143"/>
      <c r="H448" s="145"/>
    </row>
    <row r="449" ht="15.75" customHeight="1">
      <c r="B449" s="142"/>
      <c r="C449" s="151"/>
      <c r="D449" s="143"/>
      <c r="H449" s="145"/>
    </row>
    <row r="450" ht="15.75" customHeight="1">
      <c r="B450" s="142"/>
      <c r="C450" s="151"/>
      <c r="D450" s="143"/>
      <c r="H450" s="145"/>
    </row>
    <row r="451" ht="15.75" customHeight="1">
      <c r="B451" s="142"/>
      <c r="C451" s="151"/>
      <c r="D451" s="143"/>
      <c r="H451" s="145"/>
    </row>
    <row r="452" ht="15.75" customHeight="1">
      <c r="B452" s="142"/>
      <c r="C452" s="151"/>
      <c r="D452" s="143"/>
      <c r="H452" s="145"/>
    </row>
    <row r="453" ht="15.75" customHeight="1">
      <c r="B453" s="142"/>
      <c r="C453" s="151"/>
      <c r="D453" s="143"/>
      <c r="H453" s="145"/>
    </row>
    <row r="454" ht="15.75" customHeight="1">
      <c r="B454" s="142"/>
      <c r="C454" s="151"/>
      <c r="D454" s="143"/>
      <c r="H454" s="145"/>
    </row>
    <row r="455" ht="15.75" customHeight="1">
      <c r="B455" s="142"/>
      <c r="C455" s="151"/>
      <c r="D455" s="143"/>
      <c r="H455" s="145"/>
    </row>
    <row r="456" ht="15.75" customHeight="1">
      <c r="B456" s="142"/>
      <c r="C456" s="151"/>
      <c r="D456" s="143"/>
      <c r="H456" s="145"/>
    </row>
    <row r="457" ht="15.75" customHeight="1">
      <c r="B457" s="142"/>
      <c r="C457" s="151"/>
      <c r="D457" s="143"/>
      <c r="H457" s="145"/>
    </row>
    <row r="458" ht="15.75" customHeight="1">
      <c r="B458" s="142"/>
      <c r="C458" s="151"/>
      <c r="D458" s="143"/>
      <c r="H458" s="145"/>
    </row>
    <row r="459" ht="15.75" customHeight="1">
      <c r="B459" s="142"/>
      <c r="C459" s="151"/>
      <c r="D459" s="143"/>
      <c r="H459" s="145"/>
    </row>
    <row r="460" ht="15.75" customHeight="1">
      <c r="B460" s="142"/>
      <c r="C460" s="151"/>
      <c r="D460" s="143"/>
      <c r="H460" s="145"/>
    </row>
    <row r="461" ht="15.75" customHeight="1">
      <c r="B461" s="142"/>
      <c r="C461" s="151"/>
      <c r="D461" s="143"/>
      <c r="H461" s="145"/>
    </row>
    <row r="462" ht="15.75" customHeight="1">
      <c r="B462" s="142"/>
      <c r="C462" s="151"/>
      <c r="D462" s="143"/>
      <c r="H462" s="145"/>
    </row>
    <row r="463" ht="15.75" customHeight="1">
      <c r="B463" s="142"/>
      <c r="C463" s="151"/>
      <c r="D463" s="143"/>
      <c r="H463" s="145"/>
    </row>
    <row r="464" ht="15.75" customHeight="1">
      <c r="B464" s="142"/>
      <c r="C464" s="151"/>
      <c r="D464" s="143"/>
      <c r="H464" s="145"/>
    </row>
    <row r="465" ht="15.75" customHeight="1">
      <c r="B465" s="142"/>
      <c r="C465" s="151"/>
      <c r="D465" s="143"/>
      <c r="H465" s="145"/>
    </row>
    <row r="466" ht="15.75" customHeight="1">
      <c r="B466" s="142"/>
      <c r="C466" s="151"/>
      <c r="D466" s="143"/>
      <c r="H466" s="145"/>
    </row>
    <row r="467" ht="15.75" customHeight="1">
      <c r="B467" s="142"/>
      <c r="C467" s="151"/>
      <c r="D467" s="143"/>
      <c r="H467" s="145"/>
    </row>
    <row r="468" ht="15.75" customHeight="1">
      <c r="B468" s="142"/>
      <c r="C468" s="151"/>
      <c r="D468" s="143"/>
      <c r="H468" s="145"/>
    </row>
    <row r="469" ht="15.75" customHeight="1">
      <c r="B469" s="142"/>
      <c r="C469" s="151"/>
      <c r="D469" s="143"/>
      <c r="H469" s="145"/>
    </row>
    <row r="470" ht="15.75" customHeight="1">
      <c r="B470" s="142"/>
      <c r="C470" s="151"/>
      <c r="D470" s="143"/>
      <c r="H470" s="145"/>
    </row>
    <row r="471" ht="15.75" customHeight="1">
      <c r="B471" s="142"/>
      <c r="C471" s="151"/>
      <c r="D471" s="143"/>
      <c r="H471" s="145"/>
    </row>
    <row r="472" ht="15.75" customHeight="1">
      <c r="B472" s="142"/>
      <c r="C472" s="151"/>
      <c r="D472" s="143"/>
      <c r="H472" s="145"/>
    </row>
    <row r="473" ht="15.75" customHeight="1">
      <c r="B473" s="142"/>
      <c r="C473" s="151"/>
      <c r="D473" s="143"/>
      <c r="H473" s="145"/>
    </row>
    <row r="474" ht="15.75" customHeight="1">
      <c r="B474" s="142"/>
      <c r="C474" s="151"/>
      <c r="D474" s="143"/>
      <c r="H474" s="145"/>
    </row>
    <row r="475" ht="15.75" customHeight="1">
      <c r="B475" s="142"/>
      <c r="C475" s="151"/>
      <c r="D475" s="143"/>
      <c r="H475" s="145"/>
    </row>
    <row r="476" ht="15.75" customHeight="1">
      <c r="B476" s="142"/>
      <c r="C476" s="151"/>
      <c r="D476" s="143"/>
      <c r="H476" s="145"/>
    </row>
    <row r="477" ht="15.75" customHeight="1">
      <c r="B477" s="142"/>
      <c r="C477" s="151"/>
      <c r="D477" s="143"/>
      <c r="H477" s="145"/>
    </row>
    <row r="478" ht="15.75" customHeight="1">
      <c r="B478" s="142"/>
      <c r="C478" s="151"/>
      <c r="D478" s="143"/>
      <c r="H478" s="145"/>
    </row>
    <row r="479" ht="15.75" customHeight="1">
      <c r="B479" s="142"/>
      <c r="C479" s="151"/>
      <c r="D479" s="143"/>
      <c r="H479" s="145"/>
    </row>
    <row r="480" ht="15.75" customHeight="1">
      <c r="B480" s="142"/>
      <c r="C480" s="151"/>
      <c r="D480" s="143"/>
      <c r="H480" s="145"/>
    </row>
    <row r="481" ht="15.75" customHeight="1">
      <c r="B481" s="142"/>
      <c r="C481" s="151"/>
      <c r="D481" s="143"/>
      <c r="H481" s="145"/>
    </row>
    <row r="482" ht="15.75" customHeight="1">
      <c r="B482" s="142"/>
      <c r="C482" s="151"/>
      <c r="D482" s="143"/>
      <c r="H482" s="145"/>
    </row>
    <row r="483" ht="15.75" customHeight="1">
      <c r="B483" s="142"/>
      <c r="C483" s="151"/>
      <c r="D483" s="143"/>
      <c r="H483" s="145"/>
    </row>
    <row r="484" ht="15.75" customHeight="1">
      <c r="B484" s="142"/>
      <c r="C484" s="151"/>
      <c r="D484" s="143"/>
      <c r="H484" s="145"/>
    </row>
    <row r="485" ht="15.75" customHeight="1">
      <c r="B485" s="142"/>
      <c r="C485" s="151"/>
      <c r="D485" s="143"/>
      <c r="H485" s="145"/>
    </row>
    <row r="486" ht="15.75" customHeight="1">
      <c r="B486" s="142"/>
      <c r="C486" s="151"/>
      <c r="D486" s="143"/>
      <c r="H486" s="145"/>
    </row>
    <row r="487" ht="15.75" customHeight="1">
      <c r="B487" s="142"/>
      <c r="C487" s="151"/>
      <c r="D487" s="143"/>
      <c r="H487" s="145"/>
    </row>
    <row r="488" ht="15.75" customHeight="1">
      <c r="B488" s="142"/>
      <c r="C488" s="151"/>
      <c r="D488" s="143"/>
      <c r="H488" s="145"/>
    </row>
    <row r="489" ht="15.75" customHeight="1">
      <c r="B489" s="142"/>
      <c r="C489" s="151"/>
      <c r="D489" s="143"/>
      <c r="H489" s="145"/>
    </row>
    <row r="490" ht="15.75" customHeight="1">
      <c r="B490" s="142"/>
      <c r="C490" s="151"/>
      <c r="D490" s="143"/>
      <c r="H490" s="145"/>
    </row>
    <row r="491" ht="15.75" customHeight="1">
      <c r="B491" s="142"/>
      <c r="C491" s="151"/>
      <c r="D491" s="143"/>
      <c r="H491" s="145"/>
    </row>
    <row r="492" ht="15.75" customHeight="1">
      <c r="B492" s="142"/>
      <c r="C492" s="151"/>
      <c r="D492" s="143"/>
      <c r="H492" s="145"/>
    </row>
    <row r="493" ht="15.75" customHeight="1">
      <c r="B493" s="142"/>
      <c r="C493" s="151"/>
      <c r="D493" s="143"/>
      <c r="H493" s="145"/>
    </row>
    <row r="494" ht="15.75" customHeight="1">
      <c r="B494" s="142"/>
      <c r="C494" s="151"/>
      <c r="D494" s="143"/>
      <c r="H494" s="145"/>
    </row>
    <row r="495" ht="15.75" customHeight="1">
      <c r="B495" s="142"/>
      <c r="C495" s="151"/>
      <c r="D495" s="143"/>
      <c r="H495" s="145"/>
    </row>
    <row r="496" ht="15.75" customHeight="1">
      <c r="B496" s="142"/>
      <c r="C496" s="151"/>
      <c r="D496" s="143"/>
      <c r="H496" s="145"/>
    </row>
    <row r="497" ht="15.75" customHeight="1">
      <c r="B497" s="142"/>
      <c r="C497" s="151"/>
      <c r="D497" s="143"/>
      <c r="H497" s="145"/>
    </row>
    <row r="498" ht="15.75" customHeight="1">
      <c r="B498" s="142"/>
      <c r="C498" s="151"/>
      <c r="D498" s="143"/>
      <c r="H498" s="145"/>
    </row>
    <row r="499" ht="15.75" customHeight="1">
      <c r="B499" s="142"/>
      <c r="C499" s="151"/>
      <c r="D499" s="143"/>
      <c r="H499" s="145"/>
    </row>
    <row r="500" ht="15.75" customHeight="1">
      <c r="B500" s="142"/>
      <c r="C500" s="151"/>
      <c r="D500" s="143"/>
      <c r="H500" s="145"/>
    </row>
    <row r="501" ht="15.75" customHeight="1">
      <c r="B501" s="142"/>
      <c r="C501" s="151"/>
      <c r="D501" s="143"/>
      <c r="H501" s="145"/>
    </row>
    <row r="502" ht="15.75" customHeight="1">
      <c r="B502" s="142"/>
      <c r="C502" s="151"/>
      <c r="D502" s="143"/>
      <c r="H502" s="145"/>
    </row>
    <row r="503" ht="15.75" customHeight="1">
      <c r="B503" s="142"/>
      <c r="C503" s="151"/>
      <c r="D503" s="143"/>
      <c r="H503" s="145"/>
    </row>
    <row r="504" ht="15.75" customHeight="1">
      <c r="B504" s="142"/>
      <c r="C504" s="151"/>
      <c r="D504" s="143"/>
      <c r="H504" s="145"/>
    </row>
    <row r="505" ht="15.75" customHeight="1">
      <c r="B505" s="142"/>
      <c r="C505" s="151"/>
      <c r="D505" s="143"/>
      <c r="H505" s="145"/>
    </row>
    <row r="506" ht="15.75" customHeight="1">
      <c r="B506" s="142"/>
      <c r="C506" s="151"/>
      <c r="D506" s="143"/>
      <c r="H506" s="145"/>
    </row>
    <row r="507" ht="15.75" customHeight="1">
      <c r="B507" s="142"/>
      <c r="C507" s="151"/>
      <c r="D507" s="143"/>
      <c r="H507" s="145"/>
    </row>
    <row r="508" ht="15.75" customHeight="1">
      <c r="B508" s="142"/>
      <c r="C508" s="151"/>
      <c r="D508" s="143"/>
      <c r="H508" s="145"/>
    </row>
    <row r="509" ht="15.75" customHeight="1">
      <c r="B509" s="142"/>
      <c r="C509" s="151"/>
      <c r="D509" s="143"/>
      <c r="H509" s="145"/>
    </row>
    <row r="510" ht="15.75" customHeight="1">
      <c r="B510" s="142"/>
      <c r="C510" s="151"/>
      <c r="D510" s="143"/>
      <c r="H510" s="145"/>
    </row>
    <row r="511" ht="15.75" customHeight="1">
      <c r="B511" s="142"/>
      <c r="C511" s="151"/>
      <c r="D511" s="143"/>
      <c r="H511" s="145"/>
    </row>
    <row r="512" ht="15.75" customHeight="1">
      <c r="B512" s="142"/>
      <c r="C512" s="151"/>
      <c r="D512" s="143"/>
      <c r="H512" s="145"/>
    </row>
    <row r="513" ht="15.75" customHeight="1">
      <c r="B513" s="142"/>
      <c r="C513" s="151"/>
      <c r="D513" s="143"/>
      <c r="H513" s="145"/>
    </row>
    <row r="514" ht="15.75" customHeight="1">
      <c r="B514" s="142"/>
      <c r="C514" s="151"/>
      <c r="D514" s="143"/>
      <c r="H514" s="145"/>
    </row>
    <row r="515" ht="15.75" customHeight="1">
      <c r="B515" s="142"/>
      <c r="C515" s="151"/>
      <c r="D515" s="143"/>
      <c r="H515" s="145"/>
    </row>
    <row r="516" ht="15.75" customHeight="1">
      <c r="B516" s="142"/>
      <c r="C516" s="151"/>
      <c r="D516" s="143"/>
      <c r="H516" s="145"/>
    </row>
    <row r="517" ht="15.75" customHeight="1">
      <c r="B517" s="142"/>
      <c r="C517" s="151"/>
      <c r="D517" s="143"/>
      <c r="H517" s="145"/>
    </row>
    <row r="518" ht="15.75" customHeight="1">
      <c r="B518" s="142"/>
      <c r="C518" s="151"/>
      <c r="D518" s="143"/>
      <c r="H518" s="145"/>
    </row>
    <row r="519" ht="15.75" customHeight="1">
      <c r="B519" s="142"/>
      <c r="C519" s="151"/>
      <c r="D519" s="143"/>
      <c r="H519" s="145"/>
    </row>
    <row r="520" ht="15.75" customHeight="1">
      <c r="B520" s="142"/>
      <c r="C520" s="151"/>
      <c r="D520" s="143"/>
      <c r="H520" s="145"/>
    </row>
    <row r="521" ht="15.75" customHeight="1">
      <c r="B521" s="142"/>
      <c r="C521" s="151"/>
      <c r="D521" s="143"/>
      <c r="H521" s="145"/>
    </row>
    <row r="522" ht="15.75" customHeight="1">
      <c r="B522" s="142"/>
      <c r="C522" s="151"/>
      <c r="D522" s="143"/>
      <c r="H522" s="145"/>
    </row>
    <row r="523" ht="15.75" customHeight="1">
      <c r="B523" s="142"/>
      <c r="C523" s="151"/>
      <c r="D523" s="143"/>
      <c r="H523" s="145"/>
    </row>
    <row r="524" ht="15.75" customHeight="1">
      <c r="B524" s="142"/>
      <c r="C524" s="151"/>
      <c r="D524" s="143"/>
      <c r="H524" s="145"/>
    </row>
    <row r="525" ht="15.75" customHeight="1">
      <c r="B525" s="142"/>
      <c r="C525" s="151"/>
      <c r="D525" s="143"/>
      <c r="H525" s="145"/>
    </row>
    <row r="526" ht="15.75" customHeight="1">
      <c r="B526" s="142"/>
      <c r="C526" s="151"/>
      <c r="D526" s="143"/>
      <c r="H526" s="145"/>
    </row>
    <row r="527" ht="15.75" customHeight="1">
      <c r="B527" s="142"/>
      <c r="C527" s="151"/>
      <c r="D527" s="143"/>
      <c r="H527" s="145"/>
    </row>
    <row r="528" ht="15.75" customHeight="1">
      <c r="B528" s="142"/>
      <c r="C528" s="151"/>
      <c r="D528" s="143"/>
      <c r="H528" s="145"/>
    </row>
    <row r="529" ht="15.75" customHeight="1">
      <c r="B529" s="142"/>
      <c r="C529" s="151"/>
      <c r="D529" s="143"/>
      <c r="H529" s="145"/>
    </row>
    <row r="530" ht="15.75" customHeight="1">
      <c r="B530" s="142"/>
      <c r="C530" s="151"/>
      <c r="D530" s="143"/>
      <c r="H530" s="145"/>
    </row>
    <row r="531" ht="15.75" customHeight="1">
      <c r="B531" s="142"/>
      <c r="C531" s="151"/>
      <c r="D531" s="143"/>
      <c r="H531" s="145"/>
    </row>
    <row r="532" ht="15.75" customHeight="1">
      <c r="B532" s="142"/>
      <c r="C532" s="151"/>
      <c r="D532" s="143"/>
      <c r="H532" s="145"/>
    </row>
    <row r="533" ht="15.75" customHeight="1">
      <c r="B533" s="142"/>
      <c r="C533" s="151"/>
      <c r="D533" s="143"/>
      <c r="H533" s="145"/>
    </row>
    <row r="534" ht="15.75" customHeight="1">
      <c r="B534" s="142"/>
      <c r="C534" s="151"/>
      <c r="D534" s="143"/>
      <c r="H534" s="145"/>
    </row>
    <row r="535" ht="15.75" customHeight="1">
      <c r="B535" s="142"/>
      <c r="C535" s="151"/>
      <c r="D535" s="143"/>
      <c r="H535" s="145"/>
    </row>
    <row r="536" ht="15.75" customHeight="1">
      <c r="B536" s="142"/>
      <c r="C536" s="151"/>
      <c r="D536" s="143"/>
      <c r="H536" s="145"/>
    </row>
    <row r="537" ht="15.75" customHeight="1">
      <c r="B537" s="142"/>
      <c r="C537" s="151"/>
      <c r="D537" s="143"/>
      <c r="H537" s="145"/>
    </row>
    <row r="538" ht="15.75" customHeight="1">
      <c r="B538" s="142"/>
      <c r="C538" s="151"/>
      <c r="D538" s="143"/>
      <c r="H538" s="145"/>
    </row>
    <row r="539" ht="15.75" customHeight="1">
      <c r="B539" s="142"/>
      <c r="C539" s="151"/>
      <c r="D539" s="143"/>
      <c r="H539" s="145"/>
    </row>
    <row r="540" ht="15.75" customHeight="1">
      <c r="B540" s="142"/>
      <c r="C540" s="151"/>
      <c r="D540" s="143"/>
      <c r="H540" s="145"/>
    </row>
    <row r="541" ht="15.75" customHeight="1">
      <c r="B541" s="142"/>
      <c r="C541" s="151"/>
      <c r="D541" s="143"/>
      <c r="H541" s="145"/>
    </row>
    <row r="542" ht="15.75" customHeight="1">
      <c r="B542" s="142"/>
      <c r="C542" s="151"/>
      <c r="D542" s="143"/>
      <c r="H542" s="145"/>
    </row>
    <row r="543" ht="15.75" customHeight="1">
      <c r="B543" s="142"/>
      <c r="C543" s="151"/>
      <c r="D543" s="143"/>
      <c r="H543" s="145"/>
    </row>
    <row r="544" ht="15.75" customHeight="1">
      <c r="B544" s="142"/>
      <c r="C544" s="151"/>
      <c r="D544" s="143"/>
      <c r="H544" s="145"/>
    </row>
    <row r="545" ht="15.75" customHeight="1">
      <c r="B545" s="142"/>
      <c r="C545" s="151"/>
      <c r="D545" s="143"/>
      <c r="H545" s="145"/>
    </row>
    <row r="546" ht="15.75" customHeight="1">
      <c r="B546" s="142"/>
      <c r="C546" s="151"/>
      <c r="D546" s="143"/>
      <c r="H546" s="145"/>
    </row>
    <row r="547" ht="15.75" customHeight="1">
      <c r="B547" s="142"/>
      <c r="C547" s="151"/>
      <c r="D547" s="143"/>
      <c r="H547" s="145"/>
    </row>
    <row r="548" ht="15.75" customHeight="1">
      <c r="B548" s="142"/>
      <c r="C548" s="151"/>
      <c r="D548" s="143"/>
      <c r="H548" s="145"/>
    </row>
    <row r="549" ht="15.75" customHeight="1">
      <c r="B549" s="142"/>
      <c r="C549" s="151"/>
      <c r="D549" s="143"/>
      <c r="H549" s="145"/>
    </row>
    <row r="550" ht="15.75" customHeight="1">
      <c r="B550" s="142"/>
      <c r="C550" s="151"/>
      <c r="D550" s="143"/>
      <c r="H550" s="145"/>
    </row>
    <row r="551" ht="15.75" customHeight="1">
      <c r="B551" s="142"/>
      <c r="C551" s="151"/>
      <c r="D551" s="143"/>
      <c r="H551" s="145"/>
    </row>
    <row r="552" ht="15.75" customHeight="1">
      <c r="B552" s="142"/>
      <c r="C552" s="151"/>
      <c r="D552" s="143"/>
      <c r="H552" s="145"/>
    </row>
    <row r="553" ht="15.75" customHeight="1">
      <c r="B553" s="142"/>
      <c r="C553" s="151"/>
      <c r="D553" s="143"/>
      <c r="H553" s="145"/>
    </row>
    <row r="554" ht="15.75" customHeight="1">
      <c r="B554" s="142"/>
      <c r="C554" s="151"/>
      <c r="D554" s="143"/>
      <c r="H554" s="145"/>
    </row>
    <row r="555" ht="15.75" customHeight="1">
      <c r="B555" s="142"/>
      <c r="C555" s="151"/>
      <c r="D555" s="143"/>
      <c r="H555" s="145"/>
    </row>
    <row r="556" ht="15.75" customHeight="1">
      <c r="B556" s="142"/>
      <c r="C556" s="151"/>
      <c r="D556" s="143"/>
      <c r="H556" s="145"/>
    </row>
    <row r="557" ht="15.75" customHeight="1">
      <c r="B557" s="142"/>
      <c r="C557" s="151"/>
      <c r="D557" s="143"/>
      <c r="H557" s="145"/>
    </row>
    <row r="558" ht="15.75" customHeight="1">
      <c r="B558" s="142"/>
      <c r="C558" s="151"/>
      <c r="D558" s="143"/>
      <c r="H558" s="145"/>
    </row>
    <row r="559" ht="15.75" customHeight="1">
      <c r="B559" s="142"/>
      <c r="C559" s="151"/>
      <c r="D559" s="143"/>
      <c r="H559" s="145"/>
    </row>
    <row r="560" ht="15.75" customHeight="1">
      <c r="B560" s="142"/>
      <c r="C560" s="151"/>
      <c r="D560" s="143"/>
      <c r="H560" s="145"/>
    </row>
    <row r="561" ht="15.75" customHeight="1">
      <c r="B561" s="142"/>
      <c r="C561" s="151"/>
      <c r="D561" s="143"/>
      <c r="H561" s="145"/>
    </row>
    <row r="562" ht="15.75" customHeight="1">
      <c r="B562" s="142"/>
      <c r="C562" s="151"/>
      <c r="D562" s="143"/>
      <c r="H562" s="145"/>
    </row>
    <row r="563" ht="15.75" customHeight="1">
      <c r="B563" s="142"/>
      <c r="C563" s="151"/>
      <c r="D563" s="143"/>
      <c r="H563" s="145"/>
    </row>
    <row r="564" ht="15.75" customHeight="1">
      <c r="B564" s="142"/>
      <c r="C564" s="151"/>
      <c r="D564" s="143"/>
      <c r="H564" s="145"/>
    </row>
    <row r="565" ht="15.75" customHeight="1">
      <c r="B565" s="142"/>
      <c r="C565" s="151"/>
      <c r="D565" s="143"/>
      <c r="H565" s="145"/>
    </row>
    <row r="566" ht="15.75" customHeight="1">
      <c r="B566" s="142"/>
      <c r="C566" s="151"/>
      <c r="D566" s="143"/>
      <c r="H566" s="145"/>
    </row>
    <row r="567" ht="15.75" customHeight="1">
      <c r="B567" s="142"/>
      <c r="C567" s="151"/>
      <c r="D567" s="143"/>
      <c r="H567" s="145"/>
    </row>
    <row r="568" ht="15.75" customHeight="1">
      <c r="B568" s="142"/>
      <c r="C568" s="151"/>
      <c r="D568" s="143"/>
      <c r="H568" s="145"/>
    </row>
    <row r="569" ht="15.75" customHeight="1">
      <c r="B569" s="142"/>
      <c r="C569" s="151"/>
      <c r="D569" s="143"/>
      <c r="H569" s="145"/>
    </row>
    <row r="570" ht="15.75" customHeight="1">
      <c r="B570" s="142"/>
      <c r="C570" s="151"/>
      <c r="D570" s="143"/>
      <c r="H570" s="145"/>
    </row>
    <row r="571" ht="15.75" customHeight="1">
      <c r="B571" s="142"/>
      <c r="C571" s="151"/>
      <c r="D571" s="143"/>
      <c r="H571" s="145"/>
    </row>
    <row r="572" ht="15.75" customHeight="1">
      <c r="B572" s="142"/>
      <c r="C572" s="151"/>
      <c r="D572" s="143"/>
      <c r="H572" s="145"/>
    </row>
    <row r="573" ht="15.75" customHeight="1">
      <c r="B573" s="142"/>
      <c r="C573" s="151"/>
      <c r="D573" s="143"/>
      <c r="H573" s="145"/>
    </row>
    <row r="574" ht="15.75" customHeight="1">
      <c r="B574" s="142"/>
      <c r="C574" s="151"/>
      <c r="D574" s="143"/>
      <c r="H574" s="145"/>
    </row>
    <row r="575" ht="15.75" customHeight="1">
      <c r="B575" s="142"/>
      <c r="C575" s="151"/>
      <c r="D575" s="143"/>
      <c r="H575" s="145"/>
    </row>
    <row r="576" ht="15.75" customHeight="1">
      <c r="B576" s="142"/>
      <c r="C576" s="151"/>
      <c r="D576" s="143"/>
      <c r="H576" s="145"/>
    </row>
    <row r="577" ht="15.75" customHeight="1">
      <c r="B577" s="142"/>
      <c r="C577" s="151"/>
      <c r="D577" s="143"/>
      <c r="H577" s="145"/>
    </row>
    <row r="578" ht="15.75" customHeight="1">
      <c r="B578" s="142"/>
      <c r="C578" s="151"/>
      <c r="D578" s="143"/>
      <c r="H578" s="145"/>
    </row>
    <row r="579" ht="15.75" customHeight="1">
      <c r="B579" s="142"/>
      <c r="C579" s="151"/>
      <c r="D579" s="143"/>
      <c r="H579" s="145"/>
    </row>
    <row r="580" ht="15.75" customHeight="1">
      <c r="B580" s="142"/>
      <c r="C580" s="151"/>
      <c r="D580" s="143"/>
      <c r="H580" s="145"/>
    </row>
    <row r="581" ht="15.75" customHeight="1">
      <c r="B581" s="142"/>
      <c r="C581" s="151"/>
      <c r="D581" s="143"/>
      <c r="H581" s="145"/>
    </row>
    <row r="582" ht="15.75" customHeight="1">
      <c r="B582" s="142"/>
      <c r="C582" s="151"/>
      <c r="D582" s="143"/>
      <c r="H582" s="145"/>
    </row>
    <row r="583" ht="15.75" customHeight="1">
      <c r="B583" s="142"/>
      <c r="C583" s="151"/>
      <c r="D583" s="143"/>
      <c r="H583" s="145"/>
    </row>
    <row r="584" ht="15.75" customHeight="1">
      <c r="B584" s="142"/>
      <c r="C584" s="151"/>
      <c r="D584" s="143"/>
      <c r="H584" s="145"/>
    </row>
    <row r="585" ht="15.75" customHeight="1">
      <c r="B585" s="142"/>
      <c r="C585" s="151"/>
      <c r="D585" s="143"/>
      <c r="H585" s="145"/>
    </row>
    <row r="586" ht="15.75" customHeight="1">
      <c r="B586" s="142"/>
      <c r="C586" s="151"/>
      <c r="D586" s="143"/>
      <c r="H586" s="145"/>
    </row>
    <row r="587" ht="15.75" customHeight="1">
      <c r="B587" s="142"/>
      <c r="C587" s="151"/>
      <c r="D587" s="143"/>
      <c r="H587" s="145"/>
    </row>
    <row r="588" ht="15.75" customHeight="1">
      <c r="B588" s="142"/>
      <c r="C588" s="151"/>
      <c r="D588" s="143"/>
      <c r="H588" s="145"/>
    </row>
    <row r="589" ht="15.75" customHeight="1">
      <c r="B589" s="142"/>
      <c r="C589" s="151"/>
      <c r="D589" s="143"/>
      <c r="H589" s="145"/>
    </row>
    <row r="590" ht="15.75" customHeight="1">
      <c r="B590" s="142"/>
      <c r="C590" s="151"/>
      <c r="D590" s="143"/>
      <c r="H590" s="145"/>
    </row>
    <row r="591" ht="15.75" customHeight="1">
      <c r="B591" s="142"/>
      <c r="C591" s="151"/>
      <c r="D591" s="143"/>
      <c r="H591" s="145"/>
    </row>
    <row r="592" ht="15.75" customHeight="1">
      <c r="B592" s="142"/>
      <c r="C592" s="151"/>
      <c r="D592" s="143"/>
      <c r="H592" s="145"/>
    </row>
    <row r="593" ht="15.75" customHeight="1">
      <c r="B593" s="142"/>
      <c r="C593" s="151"/>
      <c r="D593" s="143"/>
      <c r="H593" s="145"/>
    </row>
    <row r="594" ht="15.75" customHeight="1">
      <c r="B594" s="142"/>
      <c r="C594" s="151"/>
      <c r="D594" s="143"/>
      <c r="H594" s="145"/>
    </row>
    <row r="595" ht="15.75" customHeight="1">
      <c r="B595" s="142"/>
      <c r="C595" s="151"/>
      <c r="D595" s="143"/>
      <c r="H595" s="145"/>
    </row>
    <row r="596" ht="15.75" customHeight="1">
      <c r="B596" s="142"/>
      <c r="C596" s="151"/>
      <c r="D596" s="143"/>
      <c r="H596" s="145"/>
    </row>
    <row r="597" ht="15.75" customHeight="1">
      <c r="B597" s="142"/>
      <c r="C597" s="151"/>
      <c r="D597" s="143"/>
      <c r="H597" s="145"/>
    </row>
    <row r="598" ht="15.75" customHeight="1">
      <c r="B598" s="142"/>
      <c r="C598" s="151"/>
      <c r="D598" s="143"/>
      <c r="H598" s="145"/>
    </row>
    <row r="599" ht="15.75" customHeight="1">
      <c r="B599" s="142"/>
      <c r="C599" s="151"/>
      <c r="D599" s="143"/>
      <c r="H599" s="145"/>
    </row>
    <row r="600" ht="15.75" customHeight="1">
      <c r="B600" s="142"/>
      <c r="C600" s="151"/>
      <c r="D600" s="143"/>
      <c r="H600" s="145"/>
    </row>
    <row r="601" ht="15.75" customHeight="1">
      <c r="B601" s="142"/>
      <c r="C601" s="151"/>
      <c r="D601" s="143"/>
      <c r="H601" s="145"/>
    </row>
    <row r="602" ht="15.75" customHeight="1">
      <c r="B602" s="142"/>
      <c r="C602" s="151"/>
      <c r="D602" s="143"/>
      <c r="H602" s="145"/>
    </row>
    <row r="603" ht="15.75" customHeight="1">
      <c r="B603" s="142"/>
      <c r="C603" s="151"/>
      <c r="D603" s="143"/>
      <c r="H603" s="145"/>
    </row>
    <row r="604" ht="15.75" customHeight="1">
      <c r="B604" s="142"/>
      <c r="C604" s="151"/>
      <c r="D604" s="143"/>
      <c r="H604" s="145"/>
    </row>
    <row r="605" ht="15.75" customHeight="1">
      <c r="B605" s="142"/>
      <c r="C605" s="151"/>
      <c r="D605" s="143"/>
      <c r="H605" s="145"/>
    </row>
    <row r="606" ht="15.75" customHeight="1">
      <c r="B606" s="142"/>
      <c r="C606" s="151"/>
      <c r="D606" s="143"/>
      <c r="H606" s="145"/>
    </row>
    <row r="607" ht="15.75" customHeight="1">
      <c r="B607" s="142"/>
      <c r="C607" s="151"/>
      <c r="D607" s="143"/>
      <c r="H607" s="145"/>
    </row>
    <row r="608" ht="15.75" customHeight="1">
      <c r="B608" s="142"/>
      <c r="C608" s="151"/>
      <c r="D608" s="143"/>
      <c r="H608" s="145"/>
    </row>
    <row r="609" ht="15.75" customHeight="1">
      <c r="B609" s="142"/>
      <c r="C609" s="151"/>
      <c r="D609" s="143"/>
      <c r="H609" s="145"/>
    </row>
    <row r="610" ht="15.75" customHeight="1">
      <c r="B610" s="142"/>
      <c r="C610" s="151"/>
      <c r="D610" s="143"/>
      <c r="H610" s="145"/>
    </row>
    <row r="611" ht="15.75" customHeight="1">
      <c r="B611" s="142"/>
      <c r="C611" s="151"/>
      <c r="D611" s="143"/>
      <c r="H611" s="145"/>
    </row>
    <row r="612" ht="15.75" customHeight="1">
      <c r="B612" s="142"/>
      <c r="C612" s="151"/>
      <c r="D612" s="143"/>
      <c r="H612" s="145"/>
    </row>
    <row r="613" ht="15.75" customHeight="1">
      <c r="B613" s="142"/>
      <c r="C613" s="151"/>
      <c r="D613" s="143"/>
      <c r="H613" s="145"/>
    </row>
    <row r="614" ht="15.75" customHeight="1">
      <c r="B614" s="142"/>
      <c r="C614" s="151"/>
      <c r="D614" s="143"/>
      <c r="H614" s="145"/>
    </row>
    <row r="615" ht="15.75" customHeight="1">
      <c r="B615" s="142"/>
      <c r="C615" s="151"/>
      <c r="D615" s="143"/>
      <c r="H615" s="145"/>
    </row>
    <row r="616" ht="15.75" customHeight="1">
      <c r="B616" s="142"/>
      <c r="C616" s="151"/>
      <c r="D616" s="143"/>
      <c r="H616" s="145"/>
    </row>
    <row r="617" ht="15.75" customHeight="1">
      <c r="B617" s="142"/>
      <c r="C617" s="151"/>
      <c r="D617" s="143"/>
      <c r="H617" s="145"/>
    </row>
    <row r="618" ht="15.75" customHeight="1">
      <c r="B618" s="142"/>
      <c r="C618" s="151"/>
      <c r="D618" s="143"/>
      <c r="H618" s="145"/>
    </row>
    <row r="619" ht="15.75" customHeight="1">
      <c r="B619" s="142"/>
      <c r="C619" s="151"/>
      <c r="D619" s="143"/>
      <c r="H619" s="145"/>
    </row>
    <row r="620" ht="15.75" customHeight="1">
      <c r="B620" s="142"/>
      <c r="C620" s="151"/>
      <c r="D620" s="143"/>
      <c r="H620" s="145"/>
    </row>
    <row r="621" ht="15.75" customHeight="1">
      <c r="B621" s="142"/>
      <c r="C621" s="151"/>
      <c r="D621" s="143"/>
      <c r="H621" s="145"/>
    </row>
    <row r="622" ht="15.75" customHeight="1">
      <c r="B622" s="142"/>
      <c r="C622" s="151"/>
      <c r="D622" s="143"/>
      <c r="H622" s="145"/>
    </row>
    <row r="623" ht="15.75" customHeight="1">
      <c r="B623" s="142"/>
      <c r="C623" s="151"/>
      <c r="D623" s="143"/>
      <c r="H623" s="145"/>
    </row>
    <row r="624" ht="15.75" customHeight="1">
      <c r="B624" s="142"/>
      <c r="C624" s="151"/>
      <c r="D624" s="143"/>
      <c r="H624" s="145"/>
    </row>
    <row r="625" ht="15.75" customHeight="1">
      <c r="B625" s="142"/>
      <c r="C625" s="151"/>
      <c r="D625" s="143"/>
      <c r="H625" s="145"/>
    </row>
    <row r="626" ht="15.75" customHeight="1">
      <c r="B626" s="142"/>
      <c r="C626" s="151"/>
      <c r="D626" s="143"/>
      <c r="H626" s="145"/>
    </row>
    <row r="627" ht="15.75" customHeight="1">
      <c r="B627" s="142"/>
      <c r="C627" s="151"/>
      <c r="D627" s="143"/>
      <c r="H627" s="145"/>
    </row>
    <row r="628" ht="15.75" customHeight="1">
      <c r="B628" s="142"/>
      <c r="C628" s="151"/>
      <c r="D628" s="143"/>
      <c r="H628" s="145"/>
    </row>
    <row r="629" ht="15.75" customHeight="1">
      <c r="B629" s="142"/>
      <c r="C629" s="151"/>
      <c r="D629" s="143"/>
      <c r="H629" s="145"/>
    </row>
    <row r="630" ht="15.75" customHeight="1">
      <c r="B630" s="142"/>
      <c r="C630" s="151"/>
      <c r="D630" s="143"/>
      <c r="H630" s="145"/>
    </row>
    <row r="631" ht="15.75" customHeight="1">
      <c r="B631" s="142"/>
      <c r="C631" s="151"/>
      <c r="D631" s="143"/>
      <c r="H631" s="145"/>
    </row>
    <row r="632" ht="15.75" customHeight="1">
      <c r="B632" s="142"/>
      <c r="C632" s="151"/>
      <c r="D632" s="143"/>
      <c r="H632" s="145"/>
    </row>
    <row r="633" ht="15.75" customHeight="1">
      <c r="B633" s="142"/>
      <c r="C633" s="151"/>
      <c r="D633" s="143"/>
      <c r="H633" s="145"/>
    </row>
    <row r="634" ht="15.75" customHeight="1">
      <c r="B634" s="142"/>
      <c r="C634" s="151"/>
      <c r="D634" s="143"/>
      <c r="H634" s="145"/>
    </row>
    <row r="635" ht="15.75" customHeight="1">
      <c r="B635" s="142"/>
      <c r="C635" s="151"/>
      <c r="D635" s="143"/>
      <c r="H635" s="145"/>
    </row>
    <row r="636" ht="15.75" customHeight="1">
      <c r="B636" s="142"/>
      <c r="C636" s="151"/>
      <c r="D636" s="143"/>
      <c r="H636" s="145"/>
    </row>
    <row r="637" ht="15.75" customHeight="1">
      <c r="B637" s="142"/>
      <c r="C637" s="151"/>
      <c r="D637" s="143"/>
      <c r="H637" s="145"/>
    </row>
    <row r="638" ht="15.75" customHeight="1">
      <c r="B638" s="142"/>
      <c r="C638" s="151"/>
      <c r="D638" s="143"/>
      <c r="H638" s="145"/>
    </row>
    <row r="639" ht="15.75" customHeight="1">
      <c r="B639" s="142"/>
      <c r="C639" s="151"/>
      <c r="D639" s="143"/>
      <c r="H639" s="145"/>
    </row>
    <row r="640" ht="15.75" customHeight="1">
      <c r="B640" s="142"/>
      <c r="C640" s="151"/>
      <c r="D640" s="143"/>
      <c r="H640" s="145"/>
    </row>
    <row r="641" ht="15.75" customHeight="1">
      <c r="B641" s="142"/>
      <c r="C641" s="151"/>
      <c r="D641" s="143"/>
      <c r="H641" s="145"/>
    </row>
    <row r="642" ht="15.75" customHeight="1">
      <c r="B642" s="142"/>
      <c r="C642" s="151"/>
      <c r="D642" s="143"/>
      <c r="H642" s="145"/>
    </row>
    <row r="643" ht="15.75" customHeight="1">
      <c r="B643" s="142"/>
      <c r="C643" s="151"/>
      <c r="D643" s="143"/>
      <c r="H643" s="145"/>
    </row>
    <row r="644" ht="15.75" customHeight="1">
      <c r="B644" s="142"/>
      <c r="C644" s="151"/>
      <c r="D644" s="143"/>
      <c r="H644" s="145"/>
    </row>
    <row r="645" ht="15.75" customHeight="1">
      <c r="B645" s="142"/>
      <c r="C645" s="151"/>
      <c r="D645" s="143"/>
      <c r="H645" s="145"/>
    </row>
    <row r="646" ht="15.75" customHeight="1">
      <c r="B646" s="142"/>
      <c r="C646" s="151"/>
      <c r="D646" s="143"/>
      <c r="H646" s="145"/>
    </row>
    <row r="647" ht="15.75" customHeight="1">
      <c r="B647" s="142"/>
      <c r="C647" s="151"/>
      <c r="D647" s="143"/>
      <c r="H647" s="145"/>
    </row>
    <row r="648" ht="15.75" customHeight="1">
      <c r="B648" s="142"/>
      <c r="C648" s="151"/>
      <c r="D648" s="143"/>
      <c r="H648" s="145"/>
    </row>
    <row r="649" ht="15.75" customHeight="1">
      <c r="B649" s="142"/>
      <c r="C649" s="151"/>
      <c r="D649" s="143"/>
      <c r="H649" s="145"/>
    </row>
    <row r="650" ht="15.75" customHeight="1">
      <c r="B650" s="142"/>
      <c r="C650" s="151"/>
      <c r="D650" s="143"/>
      <c r="H650" s="145"/>
    </row>
    <row r="651" ht="15.75" customHeight="1">
      <c r="B651" s="142"/>
      <c r="C651" s="151"/>
      <c r="D651" s="143"/>
      <c r="H651" s="145"/>
    </row>
    <row r="652" ht="15.75" customHeight="1">
      <c r="B652" s="142"/>
      <c r="C652" s="151"/>
      <c r="D652" s="143"/>
      <c r="H652" s="145"/>
    </row>
    <row r="653" ht="15.75" customHeight="1">
      <c r="B653" s="142"/>
      <c r="C653" s="151"/>
      <c r="D653" s="143"/>
      <c r="H653" s="145"/>
    </row>
    <row r="654" ht="15.75" customHeight="1">
      <c r="B654" s="142"/>
      <c r="C654" s="151"/>
      <c r="D654" s="143"/>
      <c r="H654" s="145"/>
    </row>
    <row r="655" ht="15.75" customHeight="1">
      <c r="B655" s="142"/>
      <c r="C655" s="151"/>
      <c r="D655" s="143"/>
      <c r="H655" s="145"/>
    </row>
    <row r="656" ht="15.75" customHeight="1">
      <c r="B656" s="142"/>
      <c r="C656" s="151"/>
      <c r="D656" s="143"/>
      <c r="H656" s="145"/>
    </row>
    <row r="657" ht="15.75" customHeight="1">
      <c r="B657" s="142"/>
      <c r="C657" s="151"/>
      <c r="D657" s="143"/>
      <c r="H657" s="145"/>
    </row>
    <row r="658" ht="15.75" customHeight="1">
      <c r="B658" s="142"/>
      <c r="C658" s="151"/>
      <c r="D658" s="143"/>
      <c r="H658" s="145"/>
    </row>
    <row r="659" ht="15.75" customHeight="1">
      <c r="B659" s="142"/>
      <c r="C659" s="151"/>
      <c r="D659" s="143"/>
      <c r="H659" s="145"/>
    </row>
    <row r="660" ht="15.75" customHeight="1">
      <c r="B660" s="142"/>
      <c r="C660" s="151"/>
      <c r="D660" s="143"/>
      <c r="H660" s="145"/>
    </row>
    <row r="661" ht="15.75" customHeight="1">
      <c r="B661" s="142"/>
      <c r="C661" s="151"/>
      <c r="D661" s="143"/>
      <c r="H661" s="145"/>
    </row>
    <row r="662" ht="15.75" customHeight="1">
      <c r="B662" s="142"/>
      <c r="C662" s="151"/>
      <c r="D662" s="143"/>
      <c r="H662" s="145"/>
    </row>
    <row r="663" ht="15.75" customHeight="1">
      <c r="B663" s="142"/>
      <c r="C663" s="151"/>
      <c r="D663" s="143"/>
      <c r="H663" s="145"/>
    </row>
    <row r="664" ht="15.75" customHeight="1">
      <c r="B664" s="142"/>
      <c r="C664" s="151"/>
      <c r="D664" s="143"/>
      <c r="H664" s="145"/>
    </row>
    <row r="665" ht="15.75" customHeight="1">
      <c r="B665" s="142"/>
      <c r="C665" s="151"/>
      <c r="D665" s="143"/>
      <c r="H665" s="145"/>
    </row>
    <row r="666" ht="15.75" customHeight="1">
      <c r="B666" s="142"/>
      <c r="C666" s="151"/>
      <c r="D666" s="143"/>
      <c r="H666" s="145"/>
    </row>
    <row r="667" ht="15.75" customHeight="1">
      <c r="B667" s="142"/>
      <c r="C667" s="151"/>
      <c r="D667" s="143"/>
      <c r="H667" s="145"/>
    </row>
    <row r="668" ht="15.75" customHeight="1">
      <c r="B668" s="142"/>
      <c r="C668" s="151"/>
      <c r="D668" s="143"/>
      <c r="H668" s="145"/>
    </row>
    <row r="669" ht="15.75" customHeight="1">
      <c r="B669" s="142"/>
      <c r="C669" s="151"/>
      <c r="D669" s="143"/>
      <c r="H669" s="145"/>
    </row>
    <row r="670" ht="15.75" customHeight="1">
      <c r="B670" s="142"/>
      <c r="C670" s="151"/>
      <c r="D670" s="143"/>
      <c r="H670" s="145"/>
    </row>
    <row r="671" ht="15.75" customHeight="1">
      <c r="B671" s="142"/>
      <c r="C671" s="151"/>
      <c r="D671" s="143"/>
      <c r="H671" s="145"/>
    </row>
    <row r="672" ht="15.75" customHeight="1">
      <c r="B672" s="142"/>
      <c r="C672" s="151"/>
      <c r="D672" s="143"/>
      <c r="H672" s="145"/>
    </row>
    <row r="673" ht="15.75" customHeight="1">
      <c r="B673" s="142"/>
      <c r="C673" s="151"/>
      <c r="D673" s="143"/>
      <c r="H673" s="145"/>
    </row>
    <row r="674" ht="15.75" customHeight="1">
      <c r="B674" s="142"/>
      <c r="C674" s="151"/>
      <c r="D674" s="143"/>
      <c r="H674" s="145"/>
    </row>
    <row r="675" ht="15.75" customHeight="1">
      <c r="B675" s="142"/>
      <c r="C675" s="151"/>
      <c r="D675" s="143"/>
      <c r="H675" s="145"/>
    </row>
    <row r="676" ht="15.75" customHeight="1">
      <c r="B676" s="142"/>
      <c r="C676" s="151"/>
      <c r="D676" s="143"/>
      <c r="H676" s="145"/>
    </row>
    <row r="677" ht="15.75" customHeight="1">
      <c r="B677" s="142"/>
      <c r="C677" s="151"/>
      <c r="D677" s="143"/>
      <c r="H677" s="145"/>
    </row>
    <row r="678" ht="15.75" customHeight="1">
      <c r="B678" s="142"/>
      <c r="C678" s="151"/>
      <c r="D678" s="143"/>
      <c r="H678" s="145"/>
    </row>
    <row r="679" ht="15.75" customHeight="1">
      <c r="B679" s="142"/>
      <c r="C679" s="151"/>
      <c r="D679" s="143"/>
      <c r="H679" s="145"/>
    </row>
    <row r="680" ht="15.75" customHeight="1">
      <c r="B680" s="142"/>
      <c r="C680" s="151"/>
      <c r="D680" s="143"/>
      <c r="H680" s="145"/>
    </row>
    <row r="681" ht="15.75" customHeight="1">
      <c r="B681" s="142"/>
      <c r="C681" s="151"/>
      <c r="D681" s="143"/>
      <c r="H681" s="145"/>
    </row>
    <row r="682" ht="15.75" customHeight="1">
      <c r="B682" s="142"/>
      <c r="C682" s="151"/>
      <c r="D682" s="143"/>
      <c r="H682" s="145"/>
    </row>
    <row r="683" ht="15.75" customHeight="1">
      <c r="B683" s="142"/>
      <c r="C683" s="151"/>
      <c r="D683" s="143"/>
      <c r="H683" s="145"/>
    </row>
    <row r="684" ht="15.75" customHeight="1">
      <c r="B684" s="142"/>
      <c r="C684" s="151"/>
      <c r="D684" s="143"/>
      <c r="H684" s="145"/>
    </row>
    <row r="685" ht="15.75" customHeight="1">
      <c r="B685" s="142"/>
      <c r="C685" s="151"/>
      <c r="D685" s="143"/>
      <c r="H685" s="145"/>
    </row>
    <row r="686" ht="15.75" customHeight="1">
      <c r="B686" s="142"/>
      <c r="C686" s="151"/>
      <c r="D686" s="143"/>
      <c r="H686" s="145"/>
    </row>
    <row r="687" ht="15.75" customHeight="1">
      <c r="B687" s="142"/>
      <c r="C687" s="151"/>
      <c r="D687" s="143"/>
      <c r="H687" s="145"/>
    </row>
    <row r="688" ht="15.75" customHeight="1">
      <c r="B688" s="142"/>
      <c r="C688" s="151"/>
      <c r="D688" s="143"/>
      <c r="H688" s="145"/>
    </row>
    <row r="689" ht="15.75" customHeight="1">
      <c r="B689" s="142"/>
      <c r="C689" s="151"/>
      <c r="D689" s="143"/>
      <c r="H689" s="145"/>
    </row>
    <row r="690" ht="15.75" customHeight="1">
      <c r="B690" s="142"/>
      <c r="C690" s="151"/>
      <c r="D690" s="143"/>
      <c r="H690" s="145"/>
    </row>
    <row r="691" ht="15.75" customHeight="1">
      <c r="B691" s="142"/>
      <c r="C691" s="151"/>
      <c r="D691" s="143"/>
      <c r="H691" s="145"/>
    </row>
    <row r="692" ht="15.75" customHeight="1">
      <c r="B692" s="142"/>
      <c r="C692" s="151"/>
      <c r="D692" s="143"/>
      <c r="H692" s="145"/>
    </row>
    <row r="693" ht="15.75" customHeight="1">
      <c r="B693" s="142"/>
      <c r="C693" s="151"/>
      <c r="D693" s="143"/>
      <c r="H693" s="145"/>
    </row>
    <row r="694" ht="15.75" customHeight="1">
      <c r="B694" s="142"/>
      <c r="C694" s="151"/>
      <c r="D694" s="143"/>
      <c r="H694" s="145"/>
    </row>
    <row r="695" ht="15.75" customHeight="1">
      <c r="B695" s="142"/>
      <c r="C695" s="151"/>
      <c r="D695" s="143"/>
      <c r="H695" s="145"/>
    </row>
    <row r="696" ht="15.75" customHeight="1">
      <c r="B696" s="142"/>
      <c r="C696" s="151"/>
      <c r="D696" s="143"/>
      <c r="H696" s="145"/>
    </row>
    <row r="697" ht="15.75" customHeight="1">
      <c r="B697" s="142"/>
      <c r="C697" s="151"/>
      <c r="D697" s="143"/>
      <c r="H697" s="145"/>
    </row>
    <row r="698" ht="15.75" customHeight="1">
      <c r="B698" s="142"/>
      <c r="C698" s="151"/>
      <c r="D698" s="143"/>
      <c r="H698" s="145"/>
    </row>
    <row r="699" ht="15.75" customHeight="1">
      <c r="B699" s="142"/>
      <c r="C699" s="151"/>
      <c r="D699" s="143"/>
      <c r="H699" s="145"/>
    </row>
    <row r="700" ht="15.75" customHeight="1">
      <c r="B700" s="142"/>
      <c r="C700" s="151"/>
      <c r="D700" s="143"/>
      <c r="H700" s="145"/>
    </row>
    <row r="701" ht="15.75" customHeight="1">
      <c r="B701" s="142"/>
      <c r="C701" s="151"/>
      <c r="D701" s="143"/>
      <c r="H701" s="145"/>
    </row>
    <row r="702" ht="15.75" customHeight="1">
      <c r="B702" s="142"/>
      <c r="C702" s="151"/>
      <c r="D702" s="143"/>
      <c r="H702" s="145"/>
    </row>
    <row r="703" ht="15.75" customHeight="1">
      <c r="B703" s="142"/>
      <c r="C703" s="151"/>
      <c r="D703" s="143"/>
      <c r="H703" s="145"/>
    </row>
    <row r="704" ht="15.75" customHeight="1">
      <c r="B704" s="142"/>
      <c r="C704" s="151"/>
      <c r="D704" s="143"/>
      <c r="H704" s="145"/>
    </row>
    <row r="705" ht="15.75" customHeight="1">
      <c r="B705" s="142"/>
      <c r="C705" s="151"/>
      <c r="D705" s="143"/>
      <c r="H705" s="145"/>
    </row>
    <row r="706" ht="15.75" customHeight="1">
      <c r="B706" s="142"/>
      <c r="C706" s="151"/>
      <c r="D706" s="143"/>
      <c r="H706" s="145"/>
    </row>
    <row r="707" ht="15.75" customHeight="1">
      <c r="B707" s="142"/>
      <c r="C707" s="151"/>
      <c r="D707" s="143"/>
      <c r="H707" s="145"/>
    </row>
    <row r="708" ht="15.75" customHeight="1">
      <c r="B708" s="142"/>
      <c r="C708" s="151"/>
      <c r="D708" s="143"/>
      <c r="H708" s="145"/>
    </row>
    <row r="709" ht="15.75" customHeight="1">
      <c r="B709" s="142"/>
      <c r="C709" s="151"/>
      <c r="D709" s="143"/>
      <c r="H709" s="145"/>
    </row>
    <row r="710" ht="15.75" customHeight="1">
      <c r="B710" s="142"/>
      <c r="C710" s="151"/>
      <c r="D710" s="143"/>
      <c r="H710" s="145"/>
    </row>
    <row r="711" ht="15.75" customHeight="1">
      <c r="B711" s="142"/>
      <c r="C711" s="151"/>
      <c r="D711" s="143"/>
      <c r="H711" s="145"/>
    </row>
    <row r="712" ht="15.75" customHeight="1">
      <c r="B712" s="142"/>
      <c r="C712" s="151"/>
      <c r="D712" s="143"/>
      <c r="H712" s="145"/>
    </row>
    <row r="713" ht="15.75" customHeight="1">
      <c r="B713" s="142"/>
      <c r="C713" s="151"/>
      <c r="D713" s="143"/>
      <c r="H713" s="145"/>
    </row>
    <row r="714" ht="15.75" customHeight="1">
      <c r="B714" s="142"/>
      <c r="C714" s="151"/>
      <c r="D714" s="143"/>
      <c r="H714" s="145"/>
    </row>
    <row r="715" ht="15.75" customHeight="1">
      <c r="B715" s="142"/>
      <c r="C715" s="151"/>
      <c r="D715" s="143"/>
      <c r="H715" s="145"/>
    </row>
    <row r="716" ht="15.75" customHeight="1">
      <c r="B716" s="142"/>
      <c r="C716" s="151"/>
      <c r="D716" s="143"/>
      <c r="H716" s="145"/>
    </row>
    <row r="717" ht="15.75" customHeight="1">
      <c r="B717" s="142"/>
      <c r="C717" s="151"/>
      <c r="D717" s="143"/>
      <c r="H717" s="145"/>
    </row>
    <row r="718" ht="15.75" customHeight="1">
      <c r="B718" s="142"/>
      <c r="C718" s="151"/>
      <c r="D718" s="143"/>
      <c r="H718" s="145"/>
    </row>
    <row r="719" ht="15.75" customHeight="1">
      <c r="B719" s="142"/>
      <c r="C719" s="151"/>
      <c r="D719" s="143"/>
      <c r="H719" s="145"/>
    </row>
    <row r="720" ht="15.75" customHeight="1">
      <c r="B720" s="142"/>
      <c r="C720" s="151"/>
      <c r="D720" s="143"/>
      <c r="H720" s="145"/>
    </row>
    <row r="721" ht="15.75" customHeight="1">
      <c r="B721" s="142"/>
      <c r="C721" s="151"/>
      <c r="D721" s="143"/>
      <c r="H721" s="145"/>
    </row>
    <row r="722" ht="15.75" customHeight="1">
      <c r="B722" s="142"/>
      <c r="C722" s="151"/>
      <c r="D722" s="143"/>
      <c r="H722" s="145"/>
    </row>
    <row r="723" ht="15.75" customHeight="1">
      <c r="B723" s="142"/>
      <c r="C723" s="151"/>
      <c r="D723" s="143"/>
      <c r="H723" s="145"/>
    </row>
    <row r="724" ht="15.75" customHeight="1">
      <c r="B724" s="142"/>
      <c r="C724" s="151"/>
      <c r="D724" s="143"/>
      <c r="H724" s="145"/>
    </row>
    <row r="725" ht="15.75" customHeight="1">
      <c r="B725" s="142"/>
      <c r="C725" s="151"/>
      <c r="D725" s="143"/>
      <c r="H725" s="145"/>
    </row>
    <row r="726" ht="15.75" customHeight="1">
      <c r="B726" s="142"/>
      <c r="C726" s="151"/>
      <c r="D726" s="143"/>
      <c r="H726" s="145"/>
    </row>
    <row r="727" ht="15.75" customHeight="1">
      <c r="B727" s="142"/>
      <c r="C727" s="151"/>
      <c r="D727" s="143"/>
      <c r="H727" s="145"/>
    </row>
    <row r="728" ht="15.75" customHeight="1">
      <c r="B728" s="142"/>
      <c r="C728" s="151"/>
      <c r="D728" s="143"/>
      <c r="H728" s="145"/>
    </row>
    <row r="729" ht="15.75" customHeight="1">
      <c r="B729" s="142"/>
      <c r="C729" s="151"/>
      <c r="D729" s="143"/>
      <c r="H729" s="145"/>
    </row>
    <row r="730" ht="15.75" customHeight="1">
      <c r="B730" s="142"/>
      <c r="C730" s="151"/>
      <c r="D730" s="143"/>
      <c r="H730" s="145"/>
    </row>
    <row r="731" ht="15.75" customHeight="1">
      <c r="B731" s="142"/>
      <c r="C731" s="151"/>
      <c r="D731" s="143"/>
      <c r="H731" s="145"/>
    </row>
    <row r="732" ht="15.75" customHeight="1">
      <c r="B732" s="142"/>
      <c r="C732" s="151"/>
      <c r="D732" s="143"/>
      <c r="H732" s="145"/>
    </row>
    <row r="733" ht="15.75" customHeight="1">
      <c r="B733" s="142"/>
      <c r="C733" s="151"/>
      <c r="D733" s="143"/>
      <c r="H733" s="145"/>
    </row>
    <row r="734" ht="15.75" customHeight="1">
      <c r="B734" s="142"/>
      <c r="C734" s="151"/>
      <c r="D734" s="143"/>
      <c r="H734" s="145"/>
    </row>
    <row r="735" ht="15.75" customHeight="1">
      <c r="B735" s="142"/>
      <c r="C735" s="151"/>
      <c r="D735" s="143"/>
      <c r="H735" s="145"/>
    </row>
    <row r="736" ht="15.75" customHeight="1">
      <c r="B736" s="142"/>
      <c r="C736" s="151"/>
      <c r="D736" s="143"/>
      <c r="H736" s="145"/>
    </row>
    <row r="737" ht="15.75" customHeight="1">
      <c r="B737" s="142"/>
      <c r="C737" s="151"/>
      <c r="D737" s="143"/>
      <c r="H737" s="145"/>
    </row>
    <row r="738" ht="15.75" customHeight="1">
      <c r="B738" s="142"/>
      <c r="C738" s="151"/>
      <c r="D738" s="143"/>
      <c r="H738" s="145"/>
    </row>
    <row r="739" ht="15.75" customHeight="1">
      <c r="B739" s="142"/>
      <c r="C739" s="151"/>
      <c r="D739" s="143"/>
      <c r="H739" s="145"/>
    </row>
    <row r="740" ht="15.75" customHeight="1">
      <c r="B740" s="142"/>
      <c r="C740" s="151"/>
      <c r="D740" s="143"/>
      <c r="H740" s="145"/>
    </row>
    <row r="741" ht="15.75" customHeight="1">
      <c r="B741" s="142"/>
      <c r="C741" s="151"/>
      <c r="D741" s="143"/>
      <c r="H741" s="145"/>
    </row>
    <row r="742" ht="15.75" customHeight="1">
      <c r="B742" s="142"/>
      <c r="C742" s="151"/>
      <c r="D742" s="143"/>
      <c r="H742" s="145"/>
    </row>
    <row r="743" ht="15.75" customHeight="1">
      <c r="B743" s="142"/>
      <c r="C743" s="151"/>
      <c r="D743" s="143"/>
      <c r="H743" s="145"/>
    </row>
    <row r="744" ht="15.75" customHeight="1">
      <c r="B744" s="142"/>
      <c r="C744" s="151"/>
      <c r="D744" s="143"/>
      <c r="H744" s="145"/>
    </row>
    <row r="745" ht="15.75" customHeight="1">
      <c r="B745" s="142"/>
      <c r="C745" s="151"/>
      <c r="D745" s="143"/>
      <c r="H745" s="145"/>
    </row>
    <row r="746" ht="15.75" customHeight="1">
      <c r="B746" s="142"/>
      <c r="C746" s="151"/>
      <c r="D746" s="143"/>
      <c r="H746" s="145"/>
    </row>
    <row r="747" ht="15.75" customHeight="1">
      <c r="B747" s="142"/>
      <c r="C747" s="151"/>
      <c r="D747" s="143"/>
      <c r="H747" s="145"/>
    </row>
    <row r="748" ht="15.75" customHeight="1">
      <c r="B748" s="142"/>
      <c r="C748" s="151"/>
      <c r="D748" s="143"/>
      <c r="H748" s="145"/>
    </row>
    <row r="749" ht="15.75" customHeight="1">
      <c r="B749" s="142"/>
      <c r="C749" s="151"/>
      <c r="D749" s="143"/>
      <c r="H749" s="145"/>
    </row>
    <row r="750" ht="15.75" customHeight="1">
      <c r="B750" s="142"/>
      <c r="C750" s="151"/>
      <c r="D750" s="143"/>
      <c r="H750" s="145"/>
    </row>
    <row r="751" ht="15.75" customHeight="1">
      <c r="B751" s="142"/>
      <c r="C751" s="151"/>
      <c r="D751" s="143"/>
      <c r="H751" s="145"/>
    </row>
    <row r="752" ht="15.75" customHeight="1">
      <c r="B752" s="142"/>
      <c r="C752" s="151"/>
      <c r="D752" s="143"/>
      <c r="H752" s="145"/>
    </row>
    <row r="753" ht="15.75" customHeight="1">
      <c r="B753" s="142"/>
      <c r="C753" s="151"/>
      <c r="D753" s="143"/>
      <c r="H753" s="145"/>
    </row>
    <row r="754" ht="15.75" customHeight="1">
      <c r="B754" s="142"/>
      <c r="C754" s="151"/>
      <c r="D754" s="143"/>
      <c r="H754" s="145"/>
    </row>
    <row r="755" ht="15.75" customHeight="1">
      <c r="B755" s="142"/>
      <c r="C755" s="151"/>
      <c r="D755" s="143"/>
      <c r="H755" s="145"/>
    </row>
    <row r="756" ht="15.75" customHeight="1">
      <c r="B756" s="142"/>
      <c r="C756" s="151"/>
      <c r="D756" s="143"/>
      <c r="H756" s="145"/>
    </row>
    <row r="757" ht="15.75" customHeight="1">
      <c r="B757" s="142"/>
      <c r="C757" s="151"/>
      <c r="D757" s="143"/>
      <c r="H757" s="145"/>
    </row>
    <row r="758" ht="15.75" customHeight="1">
      <c r="B758" s="142"/>
      <c r="C758" s="151"/>
      <c r="D758" s="143"/>
      <c r="H758" s="145"/>
    </row>
    <row r="759" ht="15.75" customHeight="1">
      <c r="B759" s="142"/>
      <c r="C759" s="151"/>
      <c r="D759" s="143"/>
      <c r="H759" s="145"/>
    </row>
    <row r="760" ht="15.75" customHeight="1">
      <c r="B760" s="142"/>
      <c r="C760" s="151"/>
      <c r="D760" s="143"/>
      <c r="H760" s="145"/>
    </row>
    <row r="761" ht="15.75" customHeight="1">
      <c r="B761" s="142"/>
      <c r="C761" s="151"/>
      <c r="D761" s="143"/>
      <c r="H761" s="145"/>
    </row>
    <row r="762" ht="15.75" customHeight="1">
      <c r="B762" s="142"/>
      <c r="C762" s="151"/>
      <c r="D762" s="143"/>
      <c r="H762" s="145"/>
    </row>
    <row r="763" ht="15.75" customHeight="1">
      <c r="B763" s="142"/>
      <c r="C763" s="151"/>
      <c r="D763" s="143"/>
      <c r="H763" s="145"/>
    </row>
    <row r="764" ht="15.75" customHeight="1">
      <c r="B764" s="142"/>
      <c r="C764" s="151"/>
      <c r="D764" s="143"/>
      <c r="H764" s="145"/>
    </row>
    <row r="765" ht="15.75" customHeight="1">
      <c r="B765" s="142"/>
      <c r="C765" s="151"/>
      <c r="D765" s="143"/>
      <c r="H765" s="145"/>
    </row>
    <row r="766" ht="15.75" customHeight="1">
      <c r="B766" s="142"/>
      <c r="C766" s="151"/>
      <c r="D766" s="143"/>
      <c r="H766" s="145"/>
    </row>
    <row r="767" ht="15.75" customHeight="1">
      <c r="B767" s="142"/>
      <c r="C767" s="151"/>
      <c r="D767" s="143"/>
      <c r="H767" s="145"/>
    </row>
    <row r="768" ht="15.75" customHeight="1">
      <c r="B768" s="142"/>
      <c r="C768" s="151"/>
      <c r="D768" s="143"/>
      <c r="H768" s="145"/>
    </row>
    <row r="769" ht="15.75" customHeight="1">
      <c r="B769" s="142"/>
      <c r="C769" s="151"/>
      <c r="D769" s="143"/>
      <c r="H769" s="145"/>
    </row>
    <row r="770" ht="15.75" customHeight="1">
      <c r="B770" s="142"/>
      <c r="C770" s="151"/>
      <c r="D770" s="143"/>
      <c r="H770" s="145"/>
    </row>
    <row r="771" ht="15.75" customHeight="1">
      <c r="B771" s="142"/>
      <c r="C771" s="151"/>
      <c r="D771" s="143"/>
      <c r="H771" s="145"/>
    </row>
    <row r="772" ht="15.75" customHeight="1">
      <c r="B772" s="142"/>
      <c r="C772" s="151"/>
      <c r="D772" s="143"/>
      <c r="H772" s="145"/>
    </row>
    <row r="773" ht="15.75" customHeight="1">
      <c r="B773" s="142"/>
      <c r="C773" s="151"/>
      <c r="D773" s="143"/>
      <c r="H773" s="145"/>
    </row>
    <row r="774" ht="15.75" customHeight="1">
      <c r="B774" s="142"/>
      <c r="C774" s="151"/>
      <c r="D774" s="143"/>
      <c r="H774" s="145"/>
    </row>
    <row r="775" ht="15.75" customHeight="1">
      <c r="B775" s="142"/>
      <c r="C775" s="151"/>
      <c r="D775" s="143"/>
      <c r="H775" s="145"/>
    </row>
    <row r="776" ht="15.75" customHeight="1">
      <c r="B776" s="142"/>
      <c r="C776" s="151"/>
      <c r="D776" s="143"/>
      <c r="H776" s="145"/>
    </row>
    <row r="777" ht="15.75" customHeight="1">
      <c r="B777" s="142"/>
      <c r="C777" s="151"/>
      <c r="D777" s="143"/>
      <c r="H777" s="145"/>
    </row>
    <row r="778" ht="15.75" customHeight="1">
      <c r="B778" s="142"/>
      <c r="C778" s="151"/>
      <c r="D778" s="143"/>
      <c r="H778" s="145"/>
    </row>
    <row r="779" ht="15.75" customHeight="1">
      <c r="B779" s="142"/>
      <c r="C779" s="151"/>
      <c r="D779" s="143"/>
      <c r="H779" s="145"/>
    </row>
    <row r="780" ht="15.75" customHeight="1">
      <c r="B780" s="142"/>
      <c r="C780" s="151"/>
      <c r="D780" s="143"/>
      <c r="H780" s="145"/>
    </row>
    <row r="781" ht="15.75" customHeight="1">
      <c r="B781" s="142"/>
      <c r="C781" s="151"/>
      <c r="D781" s="143"/>
      <c r="H781" s="145"/>
    </row>
    <row r="782" ht="15.75" customHeight="1">
      <c r="B782" s="142"/>
      <c r="C782" s="151"/>
      <c r="D782" s="143"/>
      <c r="H782" s="145"/>
    </row>
    <row r="783" ht="15.75" customHeight="1">
      <c r="B783" s="142"/>
      <c r="C783" s="151"/>
      <c r="D783" s="143"/>
      <c r="H783" s="145"/>
    </row>
    <row r="784" ht="15.75" customHeight="1">
      <c r="B784" s="142"/>
      <c r="C784" s="151"/>
      <c r="D784" s="143"/>
      <c r="H784" s="145"/>
    </row>
    <row r="785" ht="15.75" customHeight="1">
      <c r="B785" s="142"/>
      <c r="C785" s="151"/>
      <c r="D785" s="143"/>
      <c r="H785" s="145"/>
    </row>
    <row r="786" ht="15.75" customHeight="1">
      <c r="B786" s="142"/>
      <c r="C786" s="151"/>
      <c r="D786" s="143"/>
      <c r="H786" s="145"/>
    </row>
    <row r="787" ht="15.75" customHeight="1">
      <c r="B787" s="142"/>
      <c r="C787" s="151"/>
      <c r="D787" s="143"/>
      <c r="H787" s="145"/>
    </row>
    <row r="788" ht="15.75" customHeight="1">
      <c r="B788" s="142"/>
      <c r="C788" s="151"/>
      <c r="D788" s="143"/>
      <c r="H788" s="145"/>
    </row>
    <row r="789" ht="15.75" customHeight="1">
      <c r="B789" s="142"/>
      <c r="C789" s="151"/>
      <c r="D789" s="143"/>
      <c r="H789" s="145"/>
    </row>
    <row r="790" ht="15.75" customHeight="1">
      <c r="B790" s="142"/>
      <c r="C790" s="151"/>
      <c r="D790" s="143"/>
      <c r="H790" s="145"/>
    </row>
    <row r="791" ht="15.75" customHeight="1">
      <c r="B791" s="142"/>
      <c r="C791" s="151"/>
      <c r="D791" s="143"/>
      <c r="H791" s="145"/>
    </row>
    <row r="792" ht="15.75" customHeight="1">
      <c r="B792" s="142"/>
      <c r="C792" s="151"/>
      <c r="D792" s="143"/>
      <c r="H792" s="145"/>
    </row>
    <row r="793" ht="15.75" customHeight="1">
      <c r="B793" s="142"/>
      <c r="C793" s="151"/>
      <c r="D793" s="143"/>
      <c r="H793" s="145"/>
    </row>
    <row r="794" ht="15.75" customHeight="1">
      <c r="B794" s="142"/>
      <c r="C794" s="151"/>
      <c r="D794" s="143"/>
      <c r="H794" s="145"/>
    </row>
    <row r="795" ht="15.75" customHeight="1">
      <c r="B795" s="142"/>
      <c r="C795" s="151"/>
      <c r="D795" s="143"/>
      <c r="H795" s="145"/>
    </row>
    <row r="796" ht="15.75" customHeight="1">
      <c r="B796" s="142"/>
      <c r="C796" s="151"/>
      <c r="D796" s="143"/>
      <c r="H796" s="145"/>
    </row>
    <row r="797" ht="15.75" customHeight="1">
      <c r="B797" s="142"/>
      <c r="C797" s="151"/>
      <c r="D797" s="143"/>
      <c r="H797" s="145"/>
    </row>
    <row r="798" ht="15.75" customHeight="1">
      <c r="B798" s="142"/>
      <c r="C798" s="151"/>
      <c r="D798" s="143"/>
      <c r="H798" s="145"/>
    </row>
    <row r="799" ht="15.75" customHeight="1">
      <c r="B799" s="142"/>
      <c r="C799" s="151"/>
      <c r="D799" s="143"/>
      <c r="H799" s="145"/>
    </row>
    <row r="800" ht="15.75" customHeight="1">
      <c r="B800" s="142"/>
      <c r="C800" s="151"/>
      <c r="D800" s="143"/>
      <c r="H800" s="145"/>
    </row>
    <row r="801" ht="15.75" customHeight="1">
      <c r="B801" s="142"/>
      <c r="C801" s="151"/>
      <c r="D801" s="143"/>
      <c r="H801" s="145"/>
    </row>
    <row r="802" ht="15.75" customHeight="1">
      <c r="B802" s="142"/>
      <c r="C802" s="151"/>
      <c r="D802" s="143"/>
      <c r="H802" s="145"/>
    </row>
    <row r="803" ht="15.75" customHeight="1">
      <c r="B803" s="142"/>
      <c r="C803" s="151"/>
      <c r="D803" s="143"/>
      <c r="H803" s="145"/>
    </row>
    <row r="804" ht="15.75" customHeight="1">
      <c r="B804" s="142"/>
      <c r="C804" s="151"/>
      <c r="D804" s="143"/>
      <c r="H804" s="145"/>
    </row>
    <row r="805" ht="15.75" customHeight="1">
      <c r="B805" s="142"/>
      <c r="C805" s="151"/>
      <c r="D805" s="143"/>
      <c r="H805" s="145"/>
    </row>
    <row r="806" ht="15.75" customHeight="1">
      <c r="B806" s="142"/>
      <c r="C806" s="151"/>
      <c r="D806" s="143"/>
      <c r="H806" s="145"/>
    </row>
    <row r="807" ht="15.75" customHeight="1">
      <c r="B807" s="142"/>
      <c r="C807" s="151"/>
      <c r="D807" s="143"/>
      <c r="H807" s="145"/>
    </row>
    <row r="808" ht="15.75" customHeight="1">
      <c r="B808" s="142"/>
      <c r="C808" s="151"/>
      <c r="D808" s="143"/>
      <c r="H808" s="145"/>
    </row>
    <row r="809" ht="15.75" customHeight="1">
      <c r="B809" s="142"/>
      <c r="C809" s="151"/>
      <c r="D809" s="143"/>
      <c r="H809" s="145"/>
    </row>
    <row r="810" ht="15.75" customHeight="1">
      <c r="B810" s="142"/>
      <c r="C810" s="151"/>
      <c r="D810" s="143"/>
      <c r="H810" s="145"/>
    </row>
    <row r="811" ht="15.75" customHeight="1">
      <c r="B811" s="142"/>
      <c r="C811" s="151"/>
      <c r="D811" s="143"/>
      <c r="H811" s="145"/>
    </row>
    <row r="812" ht="15.75" customHeight="1">
      <c r="B812" s="142"/>
      <c r="C812" s="151"/>
      <c r="D812" s="143"/>
      <c r="H812" s="145"/>
    </row>
    <row r="813" ht="15.75" customHeight="1">
      <c r="B813" s="142"/>
      <c r="C813" s="151"/>
      <c r="D813" s="143"/>
      <c r="H813" s="145"/>
    </row>
    <row r="814" ht="15.75" customHeight="1">
      <c r="B814" s="142"/>
      <c r="C814" s="151"/>
      <c r="D814" s="143"/>
      <c r="H814" s="145"/>
    </row>
    <row r="815" ht="15.75" customHeight="1">
      <c r="B815" s="142"/>
      <c r="C815" s="151"/>
      <c r="D815" s="143"/>
      <c r="H815" s="145"/>
    </row>
    <row r="816" ht="15.75" customHeight="1">
      <c r="B816" s="142"/>
      <c r="C816" s="151"/>
      <c r="D816" s="143"/>
      <c r="H816" s="145"/>
    </row>
    <row r="817" ht="15.75" customHeight="1">
      <c r="B817" s="142"/>
      <c r="C817" s="151"/>
      <c r="D817" s="143"/>
      <c r="H817" s="145"/>
    </row>
    <row r="818" ht="15.75" customHeight="1">
      <c r="B818" s="142"/>
      <c r="C818" s="151"/>
      <c r="D818" s="143"/>
      <c r="H818" s="145"/>
    </row>
    <row r="819" ht="15.75" customHeight="1">
      <c r="B819" s="142"/>
      <c r="C819" s="151"/>
      <c r="D819" s="143"/>
      <c r="H819" s="145"/>
    </row>
    <row r="820" ht="15.75" customHeight="1">
      <c r="B820" s="142"/>
      <c r="C820" s="151"/>
      <c r="D820" s="143"/>
      <c r="H820" s="145"/>
    </row>
    <row r="821" ht="15.75" customHeight="1">
      <c r="B821" s="142"/>
      <c r="C821" s="151"/>
      <c r="D821" s="143"/>
      <c r="H821" s="145"/>
    </row>
    <row r="822" ht="15.75" customHeight="1">
      <c r="B822" s="142"/>
      <c r="C822" s="151"/>
      <c r="D822" s="143"/>
      <c r="H822" s="145"/>
    </row>
    <row r="823" ht="15.75" customHeight="1">
      <c r="B823" s="142"/>
      <c r="C823" s="151"/>
      <c r="D823" s="143"/>
      <c r="H823" s="145"/>
    </row>
    <row r="824" ht="15.75" customHeight="1">
      <c r="B824" s="142"/>
      <c r="C824" s="151"/>
      <c r="D824" s="143"/>
      <c r="H824" s="145"/>
    </row>
    <row r="825" ht="15.75" customHeight="1">
      <c r="B825" s="142"/>
      <c r="C825" s="151"/>
      <c r="D825" s="143"/>
      <c r="H825" s="145"/>
    </row>
    <row r="826" ht="15.75" customHeight="1">
      <c r="B826" s="142"/>
      <c r="C826" s="151"/>
      <c r="D826" s="143"/>
      <c r="H826" s="145"/>
    </row>
    <row r="827" ht="15.75" customHeight="1">
      <c r="B827" s="142"/>
      <c r="C827" s="151"/>
      <c r="D827" s="143"/>
      <c r="H827" s="145"/>
    </row>
    <row r="828" ht="15.75" customHeight="1">
      <c r="B828" s="142"/>
      <c r="C828" s="151"/>
      <c r="D828" s="143"/>
      <c r="H828" s="145"/>
    </row>
    <row r="829" ht="15.75" customHeight="1">
      <c r="B829" s="142"/>
      <c r="C829" s="151"/>
      <c r="D829" s="143"/>
      <c r="H829" s="145"/>
    </row>
    <row r="830" ht="15.75" customHeight="1">
      <c r="B830" s="142"/>
      <c r="C830" s="151"/>
      <c r="D830" s="143"/>
      <c r="H830" s="145"/>
    </row>
    <row r="831" ht="15.75" customHeight="1">
      <c r="B831" s="142"/>
      <c r="C831" s="151"/>
      <c r="D831" s="143"/>
      <c r="H831" s="145"/>
    </row>
    <row r="832" ht="15.75" customHeight="1">
      <c r="B832" s="142"/>
      <c r="C832" s="151"/>
      <c r="D832" s="143"/>
      <c r="H832" s="145"/>
    </row>
    <row r="833" ht="15.75" customHeight="1">
      <c r="B833" s="142"/>
      <c r="C833" s="151"/>
      <c r="D833" s="143"/>
      <c r="H833" s="145"/>
    </row>
    <row r="834" ht="15.75" customHeight="1">
      <c r="B834" s="142"/>
      <c r="C834" s="151"/>
      <c r="D834" s="143"/>
      <c r="H834" s="145"/>
    </row>
    <row r="835" ht="15.75" customHeight="1">
      <c r="B835" s="142"/>
      <c r="C835" s="151"/>
      <c r="D835" s="143"/>
      <c r="H835" s="145"/>
    </row>
    <row r="836" ht="15.75" customHeight="1">
      <c r="B836" s="142"/>
      <c r="C836" s="151"/>
      <c r="D836" s="143"/>
      <c r="H836" s="145"/>
    </row>
    <row r="837" ht="15.75" customHeight="1">
      <c r="B837" s="142"/>
      <c r="C837" s="151"/>
      <c r="D837" s="143"/>
      <c r="H837" s="145"/>
    </row>
    <row r="838" ht="15.75" customHeight="1">
      <c r="B838" s="142"/>
      <c r="C838" s="151"/>
      <c r="D838" s="143"/>
      <c r="H838" s="145"/>
    </row>
    <row r="839" ht="15.75" customHeight="1">
      <c r="B839" s="142"/>
      <c r="C839" s="151"/>
      <c r="D839" s="143"/>
      <c r="H839" s="145"/>
    </row>
    <row r="840" ht="15.75" customHeight="1">
      <c r="B840" s="142"/>
      <c r="C840" s="151"/>
      <c r="D840" s="143"/>
      <c r="H840" s="145"/>
    </row>
    <row r="841" ht="15.75" customHeight="1">
      <c r="B841" s="142"/>
      <c r="C841" s="151"/>
      <c r="D841" s="143"/>
      <c r="H841" s="145"/>
    </row>
    <row r="842" ht="15.75" customHeight="1">
      <c r="B842" s="142"/>
      <c r="C842" s="151"/>
      <c r="D842" s="143"/>
      <c r="H842" s="145"/>
    </row>
    <row r="843" ht="15.75" customHeight="1">
      <c r="B843" s="142"/>
      <c r="C843" s="151"/>
      <c r="D843" s="143"/>
      <c r="H843" s="145"/>
    </row>
    <row r="844" ht="15.75" customHeight="1">
      <c r="B844" s="142"/>
      <c r="C844" s="151"/>
      <c r="D844" s="143"/>
      <c r="H844" s="145"/>
    </row>
    <row r="845" ht="15.75" customHeight="1">
      <c r="B845" s="142"/>
      <c r="C845" s="151"/>
      <c r="D845" s="143"/>
      <c r="H845" s="145"/>
    </row>
    <row r="846" ht="15.75" customHeight="1">
      <c r="B846" s="142"/>
      <c r="C846" s="151"/>
      <c r="D846" s="143"/>
      <c r="H846" s="145"/>
    </row>
    <row r="847" ht="15.75" customHeight="1">
      <c r="B847" s="142"/>
      <c r="C847" s="151"/>
      <c r="D847" s="143"/>
      <c r="H847" s="145"/>
    </row>
    <row r="848" ht="15.75" customHeight="1">
      <c r="B848" s="142"/>
      <c r="C848" s="151"/>
      <c r="D848" s="143"/>
      <c r="H848" s="145"/>
    </row>
    <row r="849" ht="15.75" customHeight="1">
      <c r="B849" s="142"/>
      <c r="C849" s="151"/>
      <c r="D849" s="143"/>
      <c r="H849" s="145"/>
    </row>
    <row r="850" ht="15.75" customHeight="1">
      <c r="B850" s="142"/>
      <c r="C850" s="151"/>
      <c r="D850" s="143"/>
      <c r="H850" s="145"/>
    </row>
    <row r="851" ht="15.75" customHeight="1">
      <c r="B851" s="142"/>
      <c r="C851" s="151"/>
      <c r="D851" s="143"/>
      <c r="H851" s="145"/>
    </row>
    <row r="852" ht="15.75" customHeight="1">
      <c r="B852" s="142"/>
      <c r="C852" s="151"/>
      <c r="D852" s="143"/>
      <c r="H852" s="145"/>
    </row>
    <row r="853" ht="15.75" customHeight="1">
      <c r="B853" s="142"/>
      <c r="C853" s="151"/>
      <c r="D853" s="143"/>
      <c r="H853" s="145"/>
    </row>
    <row r="854" ht="15.75" customHeight="1">
      <c r="B854" s="142"/>
      <c r="C854" s="151"/>
      <c r="D854" s="143"/>
      <c r="H854" s="145"/>
    </row>
    <row r="855" ht="15.75" customHeight="1">
      <c r="B855" s="142"/>
      <c r="C855" s="151"/>
      <c r="D855" s="143"/>
      <c r="H855" s="145"/>
    </row>
    <row r="856" ht="15.75" customHeight="1">
      <c r="B856" s="142"/>
      <c r="C856" s="151"/>
      <c r="D856" s="143"/>
      <c r="H856" s="145"/>
    </row>
    <row r="857" ht="15.75" customHeight="1">
      <c r="B857" s="142"/>
      <c r="C857" s="151"/>
      <c r="D857" s="143"/>
      <c r="H857" s="145"/>
    </row>
    <row r="858" ht="15.75" customHeight="1">
      <c r="B858" s="142"/>
      <c r="C858" s="151"/>
      <c r="D858" s="143"/>
      <c r="H858" s="145"/>
    </row>
    <row r="859" ht="15.75" customHeight="1">
      <c r="B859" s="142"/>
      <c r="C859" s="151"/>
      <c r="D859" s="143"/>
      <c r="H859" s="145"/>
    </row>
    <row r="860" ht="15.75" customHeight="1">
      <c r="B860" s="142"/>
      <c r="C860" s="151"/>
      <c r="D860" s="143"/>
      <c r="H860" s="145"/>
    </row>
    <row r="861" ht="15.75" customHeight="1">
      <c r="B861" s="142"/>
      <c r="C861" s="151"/>
      <c r="D861" s="143"/>
      <c r="H861" s="145"/>
    </row>
    <row r="862" ht="15.75" customHeight="1">
      <c r="B862" s="142"/>
      <c r="C862" s="151"/>
      <c r="D862" s="143"/>
      <c r="H862" s="145"/>
    </row>
    <row r="863" ht="15.75" customHeight="1">
      <c r="B863" s="142"/>
      <c r="C863" s="151"/>
      <c r="D863" s="143"/>
      <c r="H863" s="145"/>
    </row>
    <row r="864" ht="15.75" customHeight="1">
      <c r="B864" s="142"/>
      <c r="C864" s="151"/>
      <c r="D864" s="143"/>
      <c r="H864" s="145"/>
    </row>
    <row r="865" ht="15.75" customHeight="1">
      <c r="B865" s="142"/>
      <c r="C865" s="151"/>
      <c r="D865" s="143"/>
      <c r="H865" s="145"/>
    </row>
    <row r="866" ht="15.75" customHeight="1">
      <c r="B866" s="142"/>
      <c r="C866" s="151"/>
      <c r="D866" s="143"/>
      <c r="H866" s="145"/>
    </row>
    <row r="867" ht="15.75" customHeight="1">
      <c r="B867" s="142"/>
      <c r="C867" s="151"/>
      <c r="D867" s="143"/>
      <c r="H867" s="145"/>
    </row>
    <row r="868" ht="15.75" customHeight="1">
      <c r="B868" s="142"/>
      <c r="C868" s="151"/>
      <c r="D868" s="143"/>
      <c r="H868" s="145"/>
    </row>
    <row r="869" ht="15.75" customHeight="1">
      <c r="B869" s="142"/>
      <c r="C869" s="151"/>
      <c r="D869" s="143"/>
      <c r="H869" s="145"/>
    </row>
    <row r="870" ht="15.75" customHeight="1">
      <c r="B870" s="142"/>
      <c r="C870" s="151"/>
      <c r="D870" s="143"/>
      <c r="H870" s="145"/>
    </row>
    <row r="871" ht="15.75" customHeight="1">
      <c r="B871" s="142"/>
      <c r="C871" s="151"/>
      <c r="D871" s="143"/>
      <c r="H871" s="145"/>
    </row>
    <row r="872" ht="15.75" customHeight="1">
      <c r="B872" s="142"/>
      <c r="C872" s="151"/>
      <c r="D872" s="143"/>
      <c r="H872" s="145"/>
    </row>
    <row r="873" ht="15.75" customHeight="1">
      <c r="B873" s="142"/>
      <c r="C873" s="151"/>
      <c r="D873" s="143"/>
      <c r="H873" s="145"/>
    </row>
    <row r="874" ht="15.75" customHeight="1">
      <c r="B874" s="142"/>
      <c r="C874" s="151"/>
      <c r="D874" s="143"/>
      <c r="H874" s="145"/>
    </row>
    <row r="875" ht="15.75" customHeight="1">
      <c r="B875" s="142"/>
      <c r="C875" s="151"/>
      <c r="D875" s="143"/>
      <c r="H875" s="145"/>
    </row>
    <row r="876" ht="15.75" customHeight="1">
      <c r="B876" s="142"/>
      <c r="C876" s="151"/>
      <c r="D876" s="143"/>
      <c r="H876" s="145"/>
    </row>
    <row r="877" ht="15.75" customHeight="1">
      <c r="B877" s="142"/>
      <c r="C877" s="151"/>
      <c r="D877" s="143"/>
      <c r="H877" s="145"/>
    </row>
    <row r="878" ht="15.75" customHeight="1">
      <c r="B878" s="142"/>
      <c r="C878" s="151"/>
      <c r="D878" s="143"/>
      <c r="H878" s="145"/>
    </row>
    <row r="879" ht="15.75" customHeight="1">
      <c r="B879" s="142"/>
      <c r="C879" s="151"/>
      <c r="D879" s="143"/>
      <c r="H879" s="145"/>
    </row>
    <row r="880" ht="15.75" customHeight="1">
      <c r="B880" s="142"/>
      <c r="C880" s="151"/>
      <c r="D880" s="143"/>
      <c r="H880" s="145"/>
    </row>
    <row r="881" ht="15.75" customHeight="1">
      <c r="B881" s="142"/>
      <c r="C881" s="151"/>
      <c r="D881" s="143"/>
      <c r="H881" s="145"/>
    </row>
    <row r="882" ht="15.75" customHeight="1">
      <c r="B882" s="142"/>
      <c r="C882" s="151"/>
      <c r="D882" s="143"/>
      <c r="H882" s="145"/>
    </row>
    <row r="883" ht="15.75" customHeight="1">
      <c r="B883" s="142"/>
      <c r="C883" s="151"/>
      <c r="D883" s="143"/>
      <c r="H883" s="145"/>
    </row>
    <row r="884" ht="15.75" customHeight="1">
      <c r="B884" s="142"/>
      <c r="C884" s="151"/>
      <c r="D884" s="143"/>
      <c r="H884" s="145"/>
    </row>
    <row r="885" ht="15.75" customHeight="1">
      <c r="B885" s="142"/>
      <c r="C885" s="151"/>
      <c r="D885" s="143"/>
      <c r="H885" s="145"/>
    </row>
    <row r="886" ht="15.75" customHeight="1">
      <c r="B886" s="142"/>
      <c r="C886" s="151"/>
      <c r="D886" s="143"/>
      <c r="H886" s="145"/>
    </row>
    <row r="887" ht="15.75" customHeight="1">
      <c r="B887" s="142"/>
      <c r="C887" s="151"/>
      <c r="D887" s="143"/>
      <c r="H887" s="145"/>
    </row>
    <row r="888" ht="15.75" customHeight="1">
      <c r="B888" s="142"/>
      <c r="C888" s="151"/>
      <c r="D888" s="143"/>
      <c r="H888" s="145"/>
    </row>
    <row r="889" ht="15.75" customHeight="1">
      <c r="B889" s="142"/>
      <c r="C889" s="151"/>
      <c r="D889" s="143"/>
      <c r="H889" s="145"/>
    </row>
    <row r="890" ht="15.75" customHeight="1">
      <c r="B890" s="142"/>
      <c r="C890" s="151"/>
      <c r="D890" s="143"/>
      <c r="H890" s="145"/>
    </row>
    <row r="891" ht="15.75" customHeight="1">
      <c r="B891" s="142"/>
      <c r="C891" s="151"/>
      <c r="D891" s="143"/>
      <c r="H891" s="145"/>
    </row>
    <row r="892" ht="15.75" customHeight="1">
      <c r="B892" s="142"/>
      <c r="C892" s="151"/>
      <c r="D892" s="143"/>
      <c r="H892" s="145"/>
    </row>
    <row r="893" ht="15.75" customHeight="1">
      <c r="B893" s="142"/>
      <c r="C893" s="151"/>
      <c r="D893" s="143"/>
      <c r="H893" s="145"/>
    </row>
    <row r="894" ht="15.75" customHeight="1">
      <c r="B894" s="142"/>
      <c r="C894" s="151"/>
      <c r="D894" s="143"/>
      <c r="H894" s="145"/>
    </row>
    <row r="895" ht="15.75" customHeight="1">
      <c r="B895" s="142"/>
      <c r="C895" s="151"/>
      <c r="D895" s="143"/>
      <c r="H895" s="145"/>
    </row>
    <row r="896" ht="15.75" customHeight="1">
      <c r="B896" s="142"/>
      <c r="C896" s="151"/>
      <c r="D896" s="143"/>
      <c r="H896" s="145"/>
    </row>
    <row r="897" ht="15.75" customHeight="1">
      <c r="B897" s="142"/>
      <c r="C897" s="151"/>
      <c r="D897" s="143"/>
      <c r="H897" s="145"/>
    </row>
    <row r="898" ht="15.75" customHeight="1">
      <c r="B898" s="142"/>
      <c r="C898" s="151"/>
      <c r="D898" s="143"/>
      <c r="H898" s="145"/>
    </row>
    <row r="899" ht="15.75" customHeight="1">
      <c r="B899" s="142"/>
      <c r="C899" s="151"/>
      <c r="D899" s="143"/>
      <c r="H899" s="145"/>
    </row>
    <row r="900" ht="15.75" customHeight="1">
      <c r="B900" s="142"/>
      <c r="C900" s="151"/>
      <c r="D900" s="143"/>
      <c r="H900" s="145"/>
    </row>
    <row r="901" ht="15.75" customHeight="1">
      <c r="B901" s="142"/>
      <c r="C901" s="151"/>
      <c r="D901" s="143"/>
      <c r="H901" s="145"/>
    </row>
    <row r="902" ht="15.75" customHeight="1">
      <c r="B902" s="142"/>
      <c r="C902" s="151"/>
      <c r="D902" s="143"/>
      <c r="H902" s="145"/>
    </row>
    <row r="903" ht="15.75" customHeight="1">
      <c r="B903" s="142"/>
      <c r="C903" s="151"/>
      <c r="D903" s="143"/>
      <c r="H903" s="145"/>
    </row>
    <row r="904" ht="15.75" customHeight="1">
      <c r="B904" s="142"/>
      <c r="C904" s="151"/>
      <c r="D904" s="143"/>
      <c r="H904" s="145"/>
    </row>
    <row r="905" ht="15.75" customHeight="1">
      <c r="B905" s="142"/>
      <c r="C905" s="151"/>
      <c r="D905" s="143"/>
      <c r="H905" s="145"/>
    </row>
    <row r="906" ht="15.75" customHeight="1">
      <c r="B906" s="142"/>
      <c r="C906" s="151"/>
      <c r="D906" s="143"/>
      <c r="H906" s="145"/>
    </row>
    <row r="907" ht="15.75" customHeight="1">
      <c r="B907" s="142"/>
      <c r="C907" s="151"/>
      <c r="D907" s="143"/>
      <c r="H907" s="145"/>
    </row>
    <row r="908" ht="15.75" customHeight="1">
      <c r="B908" s="142"/>
      <c r="C908" s="151"/>
      <c r="D908" s="143"/>
      <c r="H908" s="145"/>
    </row>
    <row r="909" ht="15.75" customHeight="1">
      <c r="B909" s="142"/>
      <c r="C909" s="151"/>
      <c r="D909" s="143"/>
      <c r="H909" s="145"/>
    </row>
    <row r="910" ht="15.75" customHeight="1">
      <c r="B910" s="142"/>
      <c r="C910" s="151"/>
      <c r="D910" s="143"/>
      <c r="H910" s="145"/>
    </row>
    <row r="911" ht="15.75" customHeight="1">
      <c r="B911" s="142"/>
      <c r="C911" s="151"/>
      <c r="D911" s="143"/>
      <c r="H911" s="145"/>
    </row>
    <row r="912" ht="15.75" customHeight="1">
      <c r="B912" s="142"/>
      <c r="C912" s="151"/>
      <c r="D912" s="143"/>
      <c r="H912" s="145"/>
    </row>
    <row r="913" ht="15.75" customHeight="1">
      <c r="B913" s="142"/>
      <c r="C913" s="151"/>
      <c r="D913" s="143"/>
      <c r="H913" s="145"/>
    </row>
    <row r="914" ht="15.75" customHeight="1">
      <c r="B914" s="142"/>
      <c r="C914" s="151"/>
      <c r="D914" s="143"/>
      <c r="H914" s="145"/>
    </row>
    <row r="915" ht="15.75" customHeight="1">
      <c r="B915" s="142"/>
      <c r="C915" s="151"/>
      <c r="D915" s="143"/>
      <c r="H915" s="145"/>
    </row>
    <row r="916" ht="15.75" customHeight="1">
      <c r="B916" s="142"/>
      <c r="C916" s="151"/>
      <c r="D916" s="143"/>
      <c r="H916" s="145"/>
    </row>
    <row r="917" ht="15.75" customHeight="1">
      <c r="B917" s="142"/>
      <c r="C917" s="151"/>
      <c r="D917" s="143"/>
      <c r="H917" s="145"/>
    </row>
    <row r="918" ht="15.75" customHeight="1">
      <c r="B918" s="142"/>
      <c r="C918" s="151"/>
      <c r="D918" s="143"/>
      <c r="H918" s="145"/>
    </row>
    <row r="919" ht="15.75" customHeight="1">
      <c r="B919" s="142"/>
      <c r="C919" s="151"/>
      <c r="D919" s="143"/>
      <c r="H919" s="145"/>
    </row>
    <row r="920" ht="15.75" customHeight="1">
      <c r="B920" s="142"/>
      <c r="C920" s="151"/>
      <c r="D920" s="143"/>
      <c r="H920" s="145"/>
    </row>
    <row r="921" ht="15.75" customHeight="1">
      <c r="B921" s="142"/>
      <c r="C921" s="151"/>
      <c r="D921" s="143"/>
      <c r="H921" s="145"/>
    </row>
    <row r="922" ht="15.75" customHeight="1">
      <c r="B922" s="142"/>
      <c r="C922" s="151"/>
      <c r="D922" s="143"/>
      <c r="H922" s="145"/>
    </row>
    <row r="923" ht="15.75" customHeight="1">
      <c r="B923" s="142"/>
      <c r="C923" s="151"/>
      <c r="D923" s="143"/>
      <c r="H923" s="145"/>
    </row>
    <row r="924" ht="15.75" customHeight="1">
      <c r="B924" s="142"/>
      <c r="C924" s="151"/>
      <c r="D924" s="143"/>
      <c r="H924" s="145"/>
    </row>
    <row r="925" ht="15.75" customHeight="1">
      <c r="B925" s="142"/>
      <c r="C925" s="151"/>
      <c r="D925" s="143"/>
      <c r="H925" s="145"/>
    </row>
    <row r="926" ht="15.75" customHeight="1">
      <c r="B926" s="142"/>
      <c r="C926" s="151"/>
      <c r="D926" s="143"/>
      <c r="H926" s="145"/>
    </row>
    <row r="927" ht="15.75" customHeight="1">
      <c r="B927" s="142"/>
      <c r="C927" s="151"/>
      <c r="D927" s="143"/>
      <c r="H927" s="145"/>
    </row>
    <row r="928" ht="15.75" customHeight="1">
      <c r="B928" s="142"/>
      <c r="C928" s="151"/>
      <c r="D928" s="143"/>
      <c r="H928" s="145"/>
    </row>
    <row r="929" ht="15.75" customHeight="1">
      <c r="B929" s="142"/>
      <c r="C929" s="151"/>
      <c r="D929" s="143"/>
      <c r="H929" s="145"/>
    </row>
    <row r="930" ht="15.75" customHeight="1">
      <c r="B930" s="142"/>
      <c r="C930" s="151"/>
      <c r="D930" s="143"/>
      <c r="H930" s="145"/>
    </row>
    <row r="931" ht="15.75" customHeight="1">
      <c r="B931" s="142"/>
      <c r="C931" s="151"/>
      <c r="D931" s="143"/>
      <c r="H931" s="145"/>
    </row>
    <row r="932" ht="15.75" customHeight="1">
      <c r="B932" s="142"/>
      <c r="C932" s="151"/>
      <c r="D932" s="143"/>
      <c r="H932" s="145"/>
    </row>
    <row r="933" ht="15.75" customHeight="1">
      <c r="B933" s="142"/>
      <c r="C933" s="151"/>
      <c r="D933" s="143"/>
      <c r="H933" s="145"/>
    </row>
    <row r="934" ht="15.75" customHeight="1">
      <c r="B934" s="142"/>
      <c r="C934" s="151"/>
      <c r="D934" s="143"/>
      <c r="H934" s="145"/>
    </row>
    <row r="935" ht="15.75" customHeight="1">
      <c r="B935" s="142"/>
      <c r="C935" s="151"/>
      <c r="D935" s="143"/>
      <c r="H935" s="145"/>
    </row>
    <row r="936" ht="15.75" customHeight="1">
      <c r="B936" s="142"/>
      <c r="C936" s="151"/>
      <c r="D936" s="143"/>
      <c r="H936" s="145"/>
    </row>
    <row r="937" ht="15.75" customHeight="1">
      <c r="B937" s="142"/>
      <c r="C937" s="151"/>
      <c r="D937" s="143"/>
      <c r="H937" s="145"/>
    </row>
    <row r="938" ht="15.75" customHeight="1">
      <c r="B938" s="142"/>
      <c r="C938" s="151"/>
      <c r="D938" s="143"/>
      <c r="H938" s="145"/>
    </row>
    <row r="939" ht="15.75" customHeight="1">
      <c r="B939" s="142"/>
      <c r="C939" s="151"/>
      <c r="D939" s="143"/>
      <c r="H939" s="145"/>
    </row>
    <row r="940" ht="15.75" customHeight="1">
      <c r="B940" s="142"/>
      <c r="C940" s="151"/>
      <c r="D940" s="143"/>
      <c r="H940" s="145"/>
    </row>
    <row r="941" ht="15.75" customHeight="1">
      <c r="B941" s="142"/>
      <c r="C941" s="151"/>
      <c r="D941" s="143"/>
      <c r="H941" s="145"/>
    </row>
    <row r="942" ht="15.75" customHeight="1">
      <c r="B942" s="142"/>
      <c r="C942" s="151"/>
      <c r="D942" s="143"/>
      <c r="H942" s="145"/>
    </row>
    <row r="943" ht="15.75" customHeight="1">
      <c r="B943" s="142"/>
      <c r="C943" s="151"/>
      <c r="D943" s="143"/>
      <c r="H943" s="145"/>
    </row>
    <row r="944" ht="15.75" customHeight="1">
      <c r="B944" s="142"/>
      <c r="C944" s="151"/>
      <c r="D944" s="143"/>
      <c r="H944" s="145"/>
    </row>
    <row r="945" ht="15.75" customHeight="1">
      <c r="B945" s="142"/>
      <c r="C945" s="151"/>
      <c r="D945" s="143"/>
      <c r="H945" s="145"/>
    </row>
    <row r="946" ht="15.75" customHeight="1">
      <c r="B946" s="142"/>
      <c r="C946" s="151"/>
      <c r="D946" s="143"/>
      <c r="H946" s="145"/>
    </row>
    <row r="947" ht="15.75" customHeight="1">
      <c r="B947" s="142"/>
      <c r="C947" s="151"/>
      <c r="D947" s="143"/>
      <c r="H947" s="145"/>
    </row>
    <row r="948" ht="15.75" customHeight="1">
      <c r="B948" s="142"/>
      <c r="C948" s="151"/>
      <c r="D948" s="143"/>
      <c r="H948" s="145"/>
    </row>
    <row r="949" ht="15.75" customHeight="1">
      <c r="B949" s="142"/>
      <c r="C949" s="151"/>
      <c r="D949" s="143"/>
      <c r="H949" s="145"/>
    </row>
    <row r="950" ht="15.75" customHeight="1">
      <c r="B950" s="142"/>
      <c r="C950" s="151"/>
      <c r="D950" s="143"/>
      <c r="H950" s="145"/>
    </row>
    <row r="951" ht="15.75" customHeight="1">
      <c r="B951" s="142"/>
      <c r="C951" s="151"/>
      <c r="D951" s="143"/>
      <c r="H951" s="145"/>
    </row>
    <row r="952" ht="15.75" customHeight="1">
      <c r="B952" s="142"/>
      <c r="C952" s="151"/>
      <c r="D952" s="143"/>
      <c r="H952" s="145"/>
    </row>
    <row r="953" ht="15.75" customHeight="1">
      <c r="B953" s="142"/>
      <c r="C953" s="151"/>
      <c r="D953" s="143"/>
      <c r="H953" s="145"/>
    </row>
    <row r="954" ht="15.75" customHeight="1">
      <c r="B954" s="142"/>
      <c r="C954" s="151"/>
      <c r="D954" s="143"/>
      <c r="H954" s="145"/>
    </row>
    <row r="955" ht="15.75" customHeight="1">
      <c r="B955" s="142"/>
      <c r="C955" s="151"/>
      <c r="D955" s="143"/>
      <c r="H955" s="145"/>
    </row>
    <row r="956" ht="15.75" customHeight="1">
      <c r="B956" s="142"/>
      <c r="C956" s="151"/>
      <c r="D956" s="143"/>
      <c r="H956" s="145"/>
    </row>
    <row r="957" ht="15.75" customHeight="1">
      <c r="B957" s="142"/>
      <c r="C957" s="151"/>
      <c r="D957" s="143"/>
      <c r="H957" s="145"/>
    </row>
    <row r="958" ht="15.75" customHeight="1">
      <c r="B958" s="142"/>
      <c r="C958" s="151"/>
      <c r="D958" s="143"/>
      <c r="H958" s="145"/>
    </row>
    <row r="959" ht="15.75" customHeight="1">
      <c r="B959" s="142"/>
      <c r="C959" s="151"/>
      <c r="D959" s="143"/>
      <c r="H959" s="145"/>
    </row>
    <row r="960" ht="15.75" customHeight="1">
      <c r="B960" s="142"/>
      <c r="C960" s="151"/>
      <c r="D960" s="143"/>
      <c r="H960" s="145"/>
    </row>
    <row r="961" ht="15.75" customHeight="1">
      <c r="B961" s="142"/>
      <c r="C961" s="151"/>
      <c r="D961" s="143"/>
      <c r="H961" s="145"/>
    </row>
    <row r="962" ht="15.75" customHeight="1">
      <c r="B962" s="142"/>
      <c r="C962" s="151"/>
      <c r="D962" s="143"/>
      <c r="H962" s="145"/>
    </row>
    <row r="963" ht="15.75" customHeight="1">
      <c r="B963" s="142"/>
      <c r="C963" s="151"/>
      <c r="D963" s="143"/>
      <c r="H963" s="145"/>
    </row>
    <row r="964" ht="15.75" customHeight="1">
      <c r="B964" s="142"/>
      <c r="C964" s="151"/>
      <c r="D964" s="143"/>
      <c r="H964" s="145"/>
    </row>
    <row r="965" ht="15.75" customHeight="1">
      <c r="B965" s="142"/>
      <c r="C965" s="151"/>
      <c r="D965" s="143"/>
      <c r="H965" s="145"/>
    </row>
    <row r="966" ht="15.75" customHeight="1">
      <c r="B966" s="142"/>
      <c r="C966" s="151"/>
      <c r="D966" s="143"/>
      <c r="H966" s="145"/>
    </row>
    <row r="967" ht="15.75" customHeight="1">
      <c r="B967" s="142"/>
      <c r="C967" s="151"/>
      <c r="D967" s="143"/>
      <c r="H967" s="145"/>
    </row>
    <row r="968" ht="15.75" customHeight="1">
      <c r="B968" s="142"/>
      <c r="C968" s="151"/>
      <c r="D968" s="143"/>
      <c r="H968" s="145"/>
    </row>
    <row r="969" ht="15.75" customHeight="1">
      <c r="B969" s="142"/>
      <c r="C969" s="151"/>
      <c r="D969" s="143"/>
      <c r="H969" s="145"/>
    </row>
    <row r="970" ht="15.75" customHeight="1">
      <c r="B970" s="142"/>
      <c r="C970" s="151"/>
      <c r="D970" s="143"/>
      <c r="H970" s="145"/>
    </row>
    <row r="971" ht="15.75" customHeight="1">
      <c r="B971" s="142"/>
      <c r="C971" s="151"/>
      <c r="D971" s="143"/>
      <c r="H971" s="145"/>
    </row>
    <row r="972" ht="15.75" customHeight="1">
      <c r="B972" s="142"/>
      <c r="C972" s="151"/>
      <c r="D972" s="143"/>
      <c r="H972" s="145"/>
    </row>
    <row r="973" ht="15.75" customHeight="1">
      <c r="B973" s="142"/>
      <c r="C973" s="151"/>
      <c r="D973" s="143"/>
      <c r="H973" s="145"/>
    </row>
    <row r="974" ht="15.75" customHeight="1">
      <c r="B974" s="142"/>
      <c r="C974" s="151"/>
      <c r="D974" s="143"/>
      <c r="H974" s="145"/>
    </row>
    <row r="975" ht="15.75" customHeight="1">
      <c r="B975" s="142"/>
      <c r="C975" s="151"/>
      <c r="D975" s="143"/>
      <c r="H975" s="145"/>
    </row>
    <row r="976" ht="15.75" customHeight="1">
      <c r="B976" s="142"/>
      <c r="C976" s="151"/>
      <c r="D976" s="143"/>
      <c r="H976" s="145"/>
    </row>
    <row r="977" ht="15.75" customHeight="1">
      <c r="B977" s="142"/>
      <c r="C977" s="151"/>
      <c r="D977" s="143"/>
      <c r="H977" s="145"/>
    </row>
    <row r="978" ht="15.75" customHeight="1">
      <c r="B978" s="142"/>
      <c r="C978" s="151"/>
      <c r="D978" s="143"/>
      <c r="H978" s="145"/>
    </row>
    <row r="979" ht="15.75" customHeight="1">
      <c r="B979" s="142"/>
      <c r="C979" s="151"/>
      <c r="D979" s="143"/>
      <c r="H979" s="145"/>
    </row>
    <row r="980" ht="15.75" customHeight="1">
      <c r="B980" s="142"/>
      <c r="C980" s="151"/>
      <c r="D980" s="143"/>
      <c r="H980" s="145"/>
    </row>
    <row r="981" ht="15.75" customHeight="1">
      <c r="B981" s="142"/>
      <c r="C981" s="151"/>
      <c r="D981" s="143"/>
      <c r="H981" s="145"/>
    </row>
    <row r="982" ht="15.75" customHeight="1">
      <c r="B982" s="142"/>
      <c r="C982" s="151"/>
      <c r="D982" s="143"/>
      <c r="H982" s="145"/>
    </row>
    <row r="983" ht="15.75" customHeight="1">
      <c r="B983" s="142"/>
      <c r="C983" s="151"/>
      <c r="D983" s="143"/>
      <c r="H983" s="145"/>
    </row>
    <row r="984" ht="15.75" customHeight="1">
      <c r="B984" s="142"/>
      <c r="C984" s="151"/>
      <c r="D984" s="143"/>
      <c r="H984" s="145"/>
    </row>
    <row r="985" ht="15.75" customHeight="1">
      <c r="B985" s="142"/>
      <c r="C985" s="151"/>
      <c r="D985" s="143"/>
      <c r="H985" s="145"/>
    </row>
    <row r="986" ht="15.75" customHeight="1">
      <c r="B986" s="142"/>
      <c r="C986" s="151"/>
      <c r="D986" s="143"/>
      <c r="H986" s="145"/>
    </row>
    <row r="987" ht="15.75" customHeight="1">
      <c r="B987" s="142"/>
      <c r="C987" s="151"/>
      <c r="D987" s="143"/>
      <c r="H987" s="145"/>
    </row>
    <row r="988" ht="15.75" customHeight="1">
      <c r="B988" s="142"/>
      <c r="C988" s="151"/>
      <c r="D988" s="143"/>
      <c r="H988" s="145"/>
    </row>
    <row r="989" ht="15.75" customHeight="1">
      <c r="B989" s="142"/>
      <c r="C989" s="151"/>
      <c r="D989" s="143"/>
      <c r="H989" s="145"/>
    </row>
    <row r="990" ht="15.75" customHeight="1">
      <c r="B990" s="142"/>
      <c r="C990" s="151"/>
      <c r="D990" s="143"/>
      <c r="H990" s="145"/>
    </row>
    <row r="991" ht="15.75" customHeight="1">
      <c r="B991" s="142"/>
      <c r="C991" s="151"/>
      <c r="D991" s="143"/>
      <c r="H991" s="145"/>
    </row>
    <row r="992" ht="15.75" customHeight="1">
      <c r="B992" s="142"/>
      <c r="C992" s="151"/>
      <c r="D992" s="143"/>
      <c r="H992" s="145"/>
    </row>
    <row r="993" ht="15.75" customHeight="1">
      <c r="B993" s="142"/>
      <c r="C993" s="151"/>
      <c r="D993" s="143"/>
      <c r="H993" s="145"/>
    </row>
    <row r="994" ht="15.75" customHeight="1">
      <c r="B994" s="142"/>
      <c r="C994" s="151"/>
      <c r="D994" s="143"/>
      <c r="H994" s="145"/>
    </row>
    <row r="995" ht="15.75" customHeight="1">
      <c r="B995" s="142"/>
      <c r="C995" s="151"/>
      <c r="D995" s="143"/>
      <c r="H995" s="145"/>
    </row>
    <row r="996" ht="15.75" customHeight="1">
      <c r="B996" s="142"/>
      <c r="C996" s="151"/>
      <c r="D996" s="143"/>
      <c r="H996" s="145"/>
    </row>
    <row r="997" ht="15.75" customHeight="1">
      <c r="B997" s="142"/>
      <c r="C997" s="151"/>
      <c r="D997" s="143"/>
      <c r="H997" s="145"/>
    </row>
    <row r="998" ht="15.75" customHeight="1">
      <c r="B998" s="142"/>
      <c r="C998" s="151"/>
      <c r="D998" s="143"/>
      <c r="H998" s="145"/>
    </row>
    <row r="999" ht="15.75" customHeight="1">
      <c r="B999" s="142"/>
      <c r="C999" s="151"/>
      <c r="D999" s="143"/>
      <c r="H999" s="145"/>
    </row>
    <row r="1000" ht="15.75" customHeight="1">
      <c r="B1000" s="142"/>
      <c r="C1000" s="151"/>
      <c r="D1000" s="143"/>
      <c r="H1000" s="145"/>
    </row>
    <row r="1001" ht="15.75" customHeight="1">
      <c r="B1001" s="142"/>
      <c r="C1001" s="151"/>
      <c r="D1001" s="143"/>
      <c r="H1001" s="145"/>
    </row>
  </sheetData>
  <conditionalFormatting sqref="C2:C401">
    <cfRule type="expression" dxfId="0" priority="1">
      <formula>C2-TODAY()&gt;=30</formula>
    </cfRule>
  </conditionalFormatting>
  <conditionalFormatting sqref="C2:C401">
    <cfRule type="expression" dxfId="1" priority="2">
      <formula>C2-TODAY()&lt;=15</formula>
    </cfRule>
  </conditionalFormatting>
  <conditionalFormatting sqref="C2:C401">
    <cfRule type="expression" dxfId="2" priority="3">
      <formula>C2-TODAY()&lt;=30</formula>
    </cfRule>
  </conditionalFormatting>
  <conditionalFormatting sqref="A2:A401">
    <cfRule type="expression" dxfId="3" priority="4">
      <formula>C2-TODAY()&gt;=30</formula>
    </cfRule>
  </conditionalFormatting>
  <conditionalFormatting sqref="A2:A401">
    <cfRule type="expression" dxfId="1" priority="5">
      <formula>C2-TODAY()&lt;=7</formula>
    </cfRule>
  </conditionalFormatting>
  <conditionalFormatting sqref="A2:A401">
    <cfRule type="expression" dxfId="2" priority="6">
      <formula>C2-TODAY()&lt;=30</formula>
    </cfRule>
  </conditionalFormatting>
  <printOptions/>
  <pageMargins bottom="0.75" footer="0.0" header="0.0" left="0.7" right="0.7" top="0.75"/>
  <pageSetup orientation="landscape"/>
  <drawing r:id="rId1"/>
</worksheet>
</file>